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arget inputs" sheetId="1" state="visible" r:id="rId1"/>
    <sheet xmlns:r="http://schemas.openxmlformats.org/officeDocument/2006/relationships" name="DCF" sheetId="2" state="visible" r:id="rId2"/>
    <sheet xmlns:r="http://schemas.openxmlformats.org/officeDocument/2006/relationships" name="Comparables" sheetId="3" state="visible" r:id="rId3"/>
    <sheet xmlns:r="http://schemas.openxmlformats.org/officeDocument/2006/relationships" name="Precedentes" sheetId="4" state="visible" r:id="rId4"/>
    <sheet xmlns:r="http://schemas.openxmlformats.org/officeDocument/2006/relationships" name="Football field" sheetId="5" state="visible" r:id="rId5"/>
    <sheet xmlns:r="http://schemas.openxmlformats.org/officeDocument/2006/relationships" name="Tu valoración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#,##0.0"/>
    <numFmt numFmtId="165" formatCode="0.0%"/>
    <numFmt numFmtId="166" formatCode="\$#,##0.0"/>
    <numFmt numFmtId="167" formatCode="0.000"/>
    <numFmt numFmtId="168" formatCode="\$#,##0.0\B"/>
    <numFmt numFmtId="169" formatCode="0.0\x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sz val="10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b val="1"/>
      <color rgb="FF0F1F40"/>
      <sz val="12"/>
    </font>
  </fonts>
  <fills count="7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AF9F6"/>
      </patternFill>
    </fill>
    <fill>
      <patternFill patternType="solid">
        <fgColor rgb="FFF3F4F6"/>
        <bgColor rgb="FFFAF9F6"/>
      </patternFill>
    </fill>
    <fill>
      <patternFill patternType="solid">
        <fgColor rgb="FFDCFCE7"/>
        <bgColor rgb="FFF3F4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5" fontId="8" fillId="4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6" fontId="7" fillId="5" borderId="1" applyAlignment="1" pivotButton="0" quotePrefix="0" xfId="0">
      <alignment horizontal="right" vertical="center" indent="1"/>
    </xf>
    <xf numFmtId="166" fontId="5" fillId="3" borderId="1" applyAlignment="1" pivotButton="0" quotePrefix="0" xfId="0">
      <alignment horizontal="right" vertical="center" indent="1"/>
    </xf>
    <xf numFmtId="167" fontId="7" fillId="5" borderId="1" applyAlignment="1" pivotButton="0" quotePrefix="0" xfId="0">
      <alignment horizontal="right" vertical="center" indent="1"/>
    </xf>
    <xf numFmtId="166" fontId="5" fillId="6" borderId="1" applyAlignment="1" pivotButton="0" quotePrefix="0" xfId="0">
      <alignment horizontal="right" vertical="center" indent="1"/>
    </xf>
    <xf numFmtId="166" fontId="8" fillId="4" borderId="1" applyAlignment="1" pivotButton="0" quotePrefix="0" xfId="0">
      <alignment horizontal="right" vertical="center" indent="1"/>
    </xf>
    <xf numFmtId="166" fontId="10" fillId="6" borderId="1" applyAlignment="1" pivotButton="0" quotePrefix="0" xfId="0">
      <alignment horizontal="right" vertical="center" indent="1"/>
    </xf>
    <xf numFmtId="166" fontId="8" fillId="6" borderId="1" applyAlignment="1" pivotButton="0" quotePrefix="0" xfId="0">
      <alignment horizontal="right" vertical="center" indent="1"/>
    </xf>
    <xf numFmtId="168" fontId="8" fillId="4" borderId="1" applyAlignment="1" pivotButton="0" quotePrefix="0" xfId="0">
      <alignment horizontal="right" vertical="center" indent="1"/>
    </xf>
    <xf numFmtId="9" fontId="8" fillId="4" borderId="1" applyAlignment="1" pivotButton="0" quotePrefix="0" xfId="0">
      <alignment horizontal="right" vertical="center" indent="1"/>
    </xf>
    <xf numFmtId="169" fontId="8" fillId="4" borderId="1" applyAlignment="1" pivotButton="0" quotePrefix="0" xfId="0">
      <alignment horizontal="right" vertical="center" indent="1"/>
    </xf>
    <xf numFmtId="169" fontId="7" fillId="5" borderId="1" applyAlignment="1" pivotButton="0" quotePrefix="0" xfId="0">
      <alignment horizontal="right" vertical="center" indent="1"/>
    </xf>
    <xf numFmtId="1" fontId="8" fillId="4" borderId="1" applyAlignment="1" pivotButton="0" quotePrefix="0" xfId="0">
      <alignment horizontal="right" vertical="center" indent="1"/>
    </xf>
    <xf numFmtId="2" fontId="8" fillId="4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5" fontId="8" fillId="4" borderId="1" applyAlignment="1" pivotButton="0" quotePrefix="0" xfId="0">
      <alignment horizontal="right" vertical="center" indent="1"/>
    </xf>
    <xf numFmtId="166" fontId="7" fillId="5" borderId="1" applyAlignment="1" pivotButton="0" quotePrefix="0" xfId="0">
      <alignment horizontal="right" vertical="center" indent="1"/>
    </xf>
    <xf numFmtId="166" fontId="5" fillId="3" borderId="1" applyAlignment="1" pivotButton="0" quotePrefix="0" xfId="0">
      <alignment horizontal="right" vertical="center" indent="1"/>
    </xf>
    <xf numFmtId="167" fontId="7" fillId="5" borderId="1" applyAlignment="1" pivotButton="0" quotePrefix="0" xfId="0">
      <alignment horizontal="right" vertical="center" indent="1"/>
    </xf>
    <xf numFmtId="166" fontId="5" fillId="6" borderId="1" applyAlignment="1" pivotButton="0" quotePrefix="0" xfId="0">
      <alignment horizontal="right" vertical="center" indent="1"/>
    </xf>
    <xf numFmtId="166" fontId="8" fillId="4" borderId="1" applyAlignment="1" pivotButton="0" quotePrefix="0" xfId="0">
      <alignment horizontal="right" vertical="center" indent="1"/>
    </xf>
    <xf numFmtId="166" fontId="10" fillId="6" borderId="1" applyAlignment="1" pivotButton="0" quotePrefix="0" xfId="0">
      <alignment horizontal="right" vertical="center" indent="1"/>
    </xf>
    <xf numFmtId="166" fontId="8" fillId="6" borderId="1" applyAlignment="1" pivotButton="0" quotePrefix="0" xfId="0">
      <alignment horizontal="right" vertical="center" indent="1"/>
    </xf>
    <xf numFmtId="168" fontId="8" fillId="4" borderId="1" applyAlignment="1" pivotButton="0" quotePrefix="0" xfId="0">
      <alignment horizontal="right" vertical="center" indent="1"/>
    </xf>
    <xf numFmtId="9" fontId="8" fillId="4" borderId="1" applyAlignment="1" pivotButton="0" quotePrefix="0" xfId="0">
      <alignment horizontal="right" vertical="center" indent="1"/>
    </xf>
    <xf numFmtId="169" fontId="8" fillId="4" borderId="1" applyAlignment="1" pivotButton="0" quotePrefix="0" xfId="0">
      <alignment horizontal="right" vertical="center" indent="1"/>
    </xf>
    <xf numFmtId="169" fontId="7" fillId="5" borderId="1" applyAlignment="1" pivotButton="0" quotePrefix="0" xfId="0">
      <alignment horizontal="right" vertical="center" indent="1"/>
    </xf>
    <xf numFmtId="1" fontId="8" fillId="4" borderId="1" applyAlignment="1" pivotButton="0" quotePrefix="0" xfId="0">
      <alignment horizontal="right" vertical="center" indent="1"/>
    </xf>
    <xf numFmtId="2" fontId="8" fillId="4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mna/modules/5.2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C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23" min="1" max="1"/>
    <col width="16" customWidth="1" style="23" min="2" max="2"/>
    <col width="50" customWidth="1" style="23" min="3" max="3"/>
  </cols>
  <sheetData>
    <row r="1" ht="22" customHeight="1" s="24"/>
    <row r="2" ht="13.4" customHeight="1" s="24">
      <c r="A2" s="25" t="inlineStr">
        <is>
          <t>deabaco · Tostadora del Sur · Valoración · Módulo 5.2</t>
        </is>
      </c>
      <c r="B2" s="26" t="n"/>
      <c r="C2" s="27" t="n"/>
    </row>
    <row r="3" ht="21.75" customHeight="1" s="24"/>
    <row r="4" ht="15" customHeight="1" s="24">
      <c r="A4" s="28" t="inlineStr">
        <is>
          <t>Métrica</t>
        </is>
      </c>
      <c r="B4" s="29" t="inlineStr">
        <is>
          <t>Tostadora del Sur</t>
        </is>
      </c>
      <c r="C4" s="29" t="inlineStr">
        <is>
          <t>Nota</t>
        </is>
      </c>
    </row>
    <row r="5" ht="15" customHeight="1" s="24">
      <c r="A5" s="30" t="inlineStr">
        <is>
          <t>Revenue actual ($M)</t>
        </is>
      </c>
      <c r="B5" s="31" t="n">
        <v>60</v>
      </c>
      <c r="C5" s="32" t="inlineStr">
        <is>
          <t>Año más reciente.</t>
        </is>
      </c>
    </row>
    <row r="6" ht="15" customHeight="1" s="24">
      <c r="A6" s="30" t="inlineStr">
        <is>
          <t>EBITDA actual ($M)</t>
        </is>
      </c>
      <c r="B6" s="31" t="n">
        <v>12</v>
      </c>
      <c r="C6" s="32" t="inlineStr">
        <is>
          <t>20% margen — FMCG café típico.</t>
        </is>
      </c>
    </row>
    <row r="7" ht="15" customHeight="1" s="24">
      <c r="A7" s="30" t="inlineStr">
        <is>
          <t>Utilidad neta actual ($M)</t>
        </is>
      </c>
      <c r="B7" s="31" t="n">
        <v>7</v>
      </c>
      <c r="C7" s="32" t="inlineStr">
        <is>
          <t>P/E implícito ~17x si valor $120M.</t>
        </is>
      </c>
    </row>
    <row r="8" ht="15" customHeight="1" s="24">
      <c r="A8" s="30" t="inlineStr">
        <is>
          <t>Growth proyectado revenue %</t>
        </is>
      </c>
      <c r="B8" s="33" t="n">
        <v>0.08</v>
      </c>
      <c r="C8" s="32" t="inlineStr">
        <is>
          <t>Editable. 8% promedio próximos 5 años.</t>
        </is>
      </c>
    </row>
    <row r="9" ht="15" customHeight="1" s="24">
      <c r="A9" s="30" t="inlineStr">
        <is>
          <t>Margen EBITDA target run-rate %</t>
        </is>
      </c>
      <c r="B9" s="33" t="n">
        <v>0.22</v>
      </c>
      <c r="C9" s="32" t="inlineStr">
        <is>
          <t>Mejora gradual a 22% por sinergias del operador adquirente.</t>
        </is>
      </c>
    </row>
    <row r="10" ht="15" customHeight="1" s="24">
      <c r="A10" s="30" t="inlineStr">
        <is>
          <t>Tasa impositiva %</t>
        </is>
      </c>
      <c r="B10" s="33" t="n">
        <v>0.27</v>
      </c>
      <c r="C10" s="32" t="inlineStr">
        <is>
          <t>Chile Régimen General DL 824.</t>
        </is>
      </c>
    </row>
    <row r="11" ht="15" customHeight="1" s="24">
      <c r="A11" s="30" t="inlineStr">
        <is>
          <t>Capex % revenue</t>
        </is>
      </c>
      <c r="B11" s="33" t="n">
        <v>0.04</v>
      </c>
      <c r="C11" s="32" t="inlineStr">
        <is>
          <t>Mantenimiento + crecimiento moderado.</t>
        </is>
      </c>
    </row>
    <row r="12" ht="15" customHeight="1" s="24">
      <c r="A12" s="30" t="inlineStr">
        <is>
          <t>Δ Working capital % revenue</t>
        </is>
      </c>
      <c r="B12" s="33" t="n">
        <v>0.05</v>
      </c>
      <c r="C12" s="32" t="inlineStr">
        <is>
          <t>WC absorbe 5% del crecimiento.</t>
        </is>
      </c>
    </row>
    <row r="13" ht="15" customHeight="1" s="24">
      <c r="A13" s="30" t="inlineStr">
        <is>
          <t>Acciones en circulación (M)</t>
        </is>
      </c>
      <c r="B13" s="31" t="n">
        <v>5</v>
      </c>
      <c r="C13" s="32" t="inlineStr">
        <is>
          <t>Tostadora privada; shares se usan para P/E implícito.</t>
        </is>
      </c>
    </row>
  </sheetData>
  <mergeCells count="1">
    <mergeCell ref="A2:C2"/>
  </mergeCells>
  <hyperlinks>
    <hyperlink xmlns:r="http://schemas.openxmlformats.org/officeDocument/2006/relationships" ref="A2" display="deabaco · Tostadora del Sur · Valoración · Módulo 5.2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H3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23" min="1" max="1"/>
    <col width="13" customWidth="1" style="23" min="2" max="7"/>
    <col width="40" customWidth="1" style="23" min="8" max="8"/>
  </cols>
  <sheetData>
    <row r="1" ht="22" customHeight="1" s="24"/>
    <row r="2" ht="15" customHeight="1" s="24">
      <c r="A2" s="25" t="inlineStr">
        <is>
          <t>DCF · valoración fundamental (cash flows descontados)</t>
        </is>
      </c>
      <c r="B2" s="26" t="n"/>
      <c r="C2" s="26" t="n"/>
      <c r="D2" s="26" t="n"/>
      <c r="E2" s="26" t="n"/>
      <c r="F2" s="26" t="n"/>
      <c r="G2" s="26" t="n"/>
      <c r="H2" s="27" t="n"/>
    </row>
    <row r="3" ht="21.75" customHeight="1" s="24"/>
    <row r="4" ht="15" customHeight="1" s="24">
      <c r="A4" s="29" t="inlineStr">
        <is>
          <t>Inputs DCF</t>
        </is>
      </c>
      <c r="B4" s="26" t="n"/>
      <c r="C4" s="26" t="n"/>
      <c r="D4" s="26" t="n"/>
      <c r="E4" s="26" t="n"/>
      <c r="F4" s="26" t="n"/>
      <c r="G4" s="26" t="n"/>
      <c r="H4" s="27" t="n"/>
    </row>
    <row r="5" ht="15" customHeight="1" s="24">
      <c r="A5" s="30" t="inlineStr">
        <is>
          <t>WACC (de Módulo 6.2)</t>
        </is>
      </c>
      <c r="B5" s="33" t="n">
        <v>0.095</v>
      </c>
      <c r="C5" s="32" t="inlineStr">
        <is>
          <t>Andina ≈ 9.5%. Para Tostadora (sector consumer, perfil similar) usar el mismo WACC del comprador es conservador.</t>
        </is>
      </c>
    </row>
    <row r="6" ht="15" customHeight="1" s="24">
      <c r="A6" s="30" t="inlineStr">
        <is>
          <t>Growth terminal %</t>
        </is>
      </c>
      <c r="B6" s="33" t="n">
        <v>0.025</v>
      </c>
      <c r="C6" s="32" t="inlineStr">
        <is>
          <t>Crecimiento perpetuo. Conservador: 2-3% (inflación de largo plazo).</t>
        </is>
      </c>
    </row>
    <row r="7" ht="21.75" customHeight="1" s="24"/>
    <row r="8" ht="21.75" customHeight="1" s="24">
      <c r="A8" s="29" t="inlineStr">
        <is>
          <t>Proyección 5 años</t>
        </is>
      </c>
      <c r="B8" s="26" t="n"/>
      <c r="C8" s="26" t="n"/>
      <c r="D8" s="26" t="n"/>
      <c r="E8" s="26" t="n"/>
      <c r="F8" s="26" t="n"/>
      <c r="G8" s="26" t="n"/>
      <c r="H8" s="27" t="n"/>
    </row>
    <row r="9" ht="15" customHeight="1" s="24">
      <c r="A9" s="28" t="inlineStr">
        <is>
          <t>Concepto ($M)</t>
        </is>
      </c>
      <c r="B9" s="29" t="inlineStr">
        <is>
          <t>Y1</t>
        </is>
      </c>
      <c r="C9" s="29" t="inlineStr">
        <is>
          <t>Y2</t>
        </is>
      </c>
      <c r="D9" s="29" t="inlineStr">
        <is>
          <t>Y3</t>
        </is>
      </c>
      <c r="E9" s="29" t="inlineStr">
        <is>
          <t>Y4</t>
        </is>
      </c>
      <c r="F9" s="29" t="inlineStr">
        <is>
          <t>Y5</t>
        </is>
      </c>
      <c r="G9" s="29" t="inlineStr">
        <is>
          <t>Terminal</t>
        </is>
      </c>
      <c r="H9" s="29" t="inlineStr">
        <is>
          <t>Fórmula</t>
        </is>
      </c>
    </row>
    <row r="10" ht="15" customHeight="1" s="24">
      <c r="A10" s="30" t="inlineStr">
        <is>
          <t>Revenue</t>
        </is>
      </c>
      <c r="B10" s="34">
        <f>'Target inputs'!B5*(1+'Target inputs'!B8)</f>
        <v/>
      </c>
      <c r="C10" s="34">
        <f>B10*(1+'Target inputs'!$B$8)</f>
        <v/>
      </c>
      <c r="D10" s="34">
        <f>C10*(1+'Target inputs'!$B$8)</f>
        <v/>
      </c>
      <c r="E10" s="34">
        <f>D10*(1+'Target inputs'!$B$8)</f>
        <v/>
      </c>
      <c r="F10" s="34">
        <f>E10*(1+'Target inputs'!$B$8)</f>
        <v/>
      </c>
      <c r="H10" s="32" t="inlineStr">
        <is>
          <t>Revenue Y1+ = prev × (1 + growth target).</t>
        </is>
      </c>
    </row>
    <row r="11" ht="15" customHeight="1" s="24">
      <c r="A11" s="30" t="inlineStr">
        <is>
          <t>EBITDA</t>
        </is>
      </c>
      <c r="B11" s="34">
        <f>B10*'Target inputs'!$B$9</f>
        <v/>
      </c>
      <c r="C11" s="34">
        <f>C10*'Target inputs'!$B$9</f>
        <v/>
      </c>
      <c r="D11" s="34">
        <f>D10*'Target inputs'!$B$9</f>
        <v/>
      </c>
      <c r="E11" s="34">
        <f>E10*'Target inputs'!$B$9</f>
        <v/>
      </c>
      <c r="F11" s="34">
        <f>F10*'Target inputs'!$B$9</f>
        <v/>
      </c>
    </row>
    <row r="12" ht="15" customHeight="1" s="24">
      <c r="A12" s="30" t="inlineStr">
        <is>
          <t>D&amp;A</t>
        </is>
      </c>
      <c r="B12" s="34">
        <f>B10*0.04</f>
        <v/>
      </c>
      <c r="C12" s="34">
        <f>C10*0.04</f>
        <v/>
      </c>
      <c r="D12" s="34">
        <f>D10*0.04</f>
        <v/>
      </c>
      <c r="E12" s="34">
        <f>E10*0.04</f>
        <v/>
      </c>
      <c r="F12" s="34">
        <f>F10*0.04</f>
        <v/>
      </c>
      <c r="H12" s="32" t="inlineStr">
        <is>
          <t>D&amp;A ≈ 4% revenue para FMCG.</t>
        </is>
      </c>
    </row>
    <row r="13" ht="15" customHeight="1" s="24">
      <c r="A13" s="30" t="inlineStr">
        <is>
          <t>EBIT</t>
        </is>
      </c>
      <c r="B13" s="34">
        <f>B11-B12</f>
        <v/>
      </c>
      <c r="C13" s="34">
        <f>C11-C12</f>
        <v/>
      </c>
      <c r="D13" s="34">
        <f>D11-D12</f>
        <v/>
      </c>
      <c r="E13" s="34">
        <f>E11-E12</f>
        <v/>
      </c>
      <c r="F13" s="34">
        <f>F11-F12</f>
        <v/>
      </c>
    </row>
    <row r="14" ht="15" customHeight="1" s="24">
      <c r="A14" s="30" t="inlineStr">
        <is>
          <t>NOPAT</t>
        </is>
      </c>
      <c r="B14" s="34">
        <f>B13*(1-'Target inputs'!$B$10)</f>
        <v/>
      </c>
      <c r="C14" s="34">
        <f>C13*(1-'Target inputs'!$B$10)</f>
        <v/>
      </c>
      <c r="D14" s="34">
        <f>D13*(1-'Target inputs'!$B$10)</f>
        <v/>
      </c>
      <c r="E14" s="34">
        <f>E13*(1-'Target inputs'!$B$10)</f>
        <v/>
      </c>
      <c r="F14" s="34">
        <f>F13*(1-'Target inputs'!$B$10)</f>
        <v/>
      </c>
      <c r="H14" s="32" t="inlineStr">
        <is>
          <t>EBIT × (1 − tax).</t>
        </is>
      </c>
    </row>
    <row r="15" ht="15" customHeight="1" s="24">
      <c r="A15" s="30" t="inlineStr">
        <is>
          <t>+ D&amp;A</t>
        </is>
      </c>
      <c r="B15" s="34">
        <f>B12</f>
        <v/>
      </c>
      <c r="C15" s="34">
        <f>C12</f>
        <v/>
      </c>
      <c r="D15" s="34">
        <f>D12</f>
        <v/>
      </c>
      <c r="E15" s="34">
        <f>E12</f>
        <v/>
      </c>
      <c r="F15" s="34">
        <f>F12</f>
        <v/>
      </c>
    </row>
    <row r="16" ht="15" customHeight="1" s="24">
      <c r="A16" s="30" t="inlineStr">
        <is>
          <t>− Capex</t>
        </is>
      </c>
      <c r="B16" s="34">
        <f>-B10*'Target inputs'!$B$11</f>
        <v/>
      </c>
      <c r="C16" s="34">
        <f>-C10*'Target inputs'!$B$11</f>
        <v/>
      </c>
      <c r="D16" s="34">
        <f>-D10*'Target inputs'!$B$11</f>
        <v/>
      </c>
      <c r="E16" s="34">
        <f>-E10*'Target inputs'!$B$11</f>
        <v/>
      </c>
      <c r="F16" s="34">
        <f>-F10*'Target inputs'!$B$11</f>
        <v/>
      </c>
    </row>
    <row r="17" ht="15" customHeight="1" s="24">
      <c r="A17" s="30" t="inlineStr">
        <is>
          <t>− Δ Working capital</t>
        </is>
      </c>
      <c r="B17" s="34">
        <f>-(B10-'Target inputs'!B5)*'Target inputs'!$B$12</f>
        <v/>
      </c>
      <c r="C17" s="34">
        <f>-(C10-B10)*'Target inputs'!$B$12</f>
        <v/>
      </c>
      <c r="D17" s="34">
        <f>-(D10-C10)*'Target inputs'!$B$12</f>
        <v/>
      </c>
      <c r="E17" s="34">
        <f>-(E10-D10)*'Target inputs'!$B$12</f>
        <v/>
      </c>
      <c r="F17" s="34">
        <f>-(F10-E10)*'Target inputs'!$B$12</f>
        <v/>
      </c>
      <c r="H17" s="32" t="inlineStr">
        <is>
          <t>−Δrevenue × ΔWC% (WC absorbe el crecimiento).</t>
        </is>
      </c>
    </row>
    <row r="18" ht="15" customHeight="1" s="24">
      <c r="A18" s="28" t="inlineStr">
        <is>
          <t>FCF (Free Cash Flow)</t>
        </is>
      </c>
      <c r="B18" s="35">
        <f>SUM(B14:B17)</f>
        <v/>
      </c>
      <c r="C18" s="35">
        <f>SUM(C14:C17)</f>
        <v/>
      </c>
      <c r="D18" s="35">
        <f>SUM(D14:D17)</f>
        <v/>
      </c>
      <c r="E18" s="35">
        <f>SUM(E14:E17)</f>
        <v/>
      </c>
      <c r="F18" s="35">
        <f>SUM(F14:F17)</f>
        <v/>
      </c>
    </row>
    <row r="19" ht="15" customHeight="1" s="24">
      <c r="A19" s="30" t="inlineStr">
        <is>
          <t>Terminal value (Gordon)</t>
        </is>
      </c>
      <c r="B19" s="30" t="inlineStr">
        <is>
          <t>—</t>
        </is>
      </c>
      <c r="C19" s="30" t="inlineStr">
        <is>
          <t>—</t>
        </is>
      </c>
      <c r="D19" s="30" t="inlineStr">
        <is>
          <t>—</t>
        </is>
      </c>
      <c r="E19" s="30" t="inlineStr">
        <is>
          <t>—</t>
        </is>
      </c>
      <c r="F19" s="30" t="inlineStr">
        <is>
          <t>—</t>
        </is>
      </c>
      <c r="G19" s="35">
        <f>F18*(1+B6)/(B5-B6)</f>
        <v/>
      </c>
      <c r="H19" s="32" t="inlineStr">
        <is>
          <t>TV = FCF_Y5 × (1+g) / (WACC − g). Gordon growth.</t>
        </is>
      </c>
    </row>
    <row r="20" ht="15" customHeight="1" s="24">
      <c r="A20" s="30" t="inlineStr">
        <is>
          <t>Discount factor</t>
        </is>
      </c>
      <c r="B20" s="36">
        <f>1/(1+$B$5)^1</f>
        <v/>
      </c>
      <c r="C20" s="36">
        <f>1/(1+$B$5)^2</f>
        <v/>
      </c>
      <c r="D20" s="36">
        <f>1/(1+$B$5)^3</f>
        <v/>
      </c>
      <c r="E20" s="36">
        <f>1/(1+$B$5)^4</f>
        <v/>
      </c>
      <c r="F20" s="36">
        <f>1/(1+$B$5)^5</f>
        <v/>
      </c>
      <c r="G20" s="36">
        <f>1/(1+$B$5)^5</f>
        <v/>
      </c>
    </row>
    <row r="21" ht="15" customHeight="1" s="24">
      <c r="A21" s="28" t="inlineStr">
        <is>
          <t>PV</t>
        </is>
      </c>
      <c r="B21" s="35">
        <f>B18*B20</f>
        <v/>
      </c>
      <c r="C21" s="35">
        <f>C18*C20</f>
        <v/>
      </c>
      <c r="D21" s="35">
        <f>D18*D20</f>
        <v/>
      </c>
      <c r="E21" s="35">
        <f>E18*E20</f>
        <v/>
      </c>
      <c r="F21" s="35">
        <f>F18*F20</f>
        <v/>
      </c>
      <c r="G21" s="35">
        <f>G19*G20</f>
        <v/>
      </c>
    </row>
    <row r="22" ht="18.75" customHeight="1" s="24">
      <c r="A22" s="28" t="inlineStr">
        <is>
          <t>Enterprise value (suma PV)</t>
        </is>
      </c>
      <c r="B22" s="37">
        <f>SUM(B21:G21)</f>
        <v/>
      </c>
      <c r="H22" s="32" t="inlineStr">
        <is>
          <t>EV = Σ PV de FCFs + PV terminal.</t>
        </is>
      </c>
    </row>
    <row r="23" ht="15" customHeight="1" s="24">
      <c r="A23" s="30" t="inlineStr">
        <is>
          <t>− Deuda neta target</t>
        </is>
      </c>
      <c r="B23" s="38" t="n">
        <v>0</v>
      </c>
      <c r="H23" s="32" t="inlineStr">
        <is>
          <t>Si target tiene deuda, restar. Si tiene caja excedente, sumar.</t>
        </is>
      </c>
    </row>
    <row r="24" ht="15" customHeight="1" s="24">
      <c r="A24" s="28" t="inlineStr">
        <is>
          <t>Equity value (DCF)</t>
        </is>
      </c>
      <c r="B24" s="39">
        <f>B22-B23</f>
        <v/>
      </c>
    </row>
    <row r="25" ht="21.75" customHeight="1" s="24"/>
    <row r="26" ht="21.75" customHeight="1" s="24">
      <c r="A26" s="29" t="inlineStr">
        <is>
          <t>Sensibilidad EV — WACC × growth terminal</t>
        </is>
      </c>
      <c r="B26" s="26" t="n"/>
      <c r="C26" s="26" t="n"/>
      <c r="D26" s="26" t="n"/>
      <c r="E26" s="26" t="n"/>
      <c r="F26" s="26" t="n"/>
      <c r="G26" s="26" t="n"/>
      <c r="H26" s="27" t="n"/>
    </row>
    <row r="27" ht="15" customHeight="1" s="24">
      <c r="A27" s="28" t="inlineStr">
        <is>
          <t>WACC ↓ / Growth →</t>
        </is>
      </c>
      <c r="B27" s="29" t="inlineStr">
        <is>
          <t>1.5%</t>
        </is>
      </c>
      <c r="C27" s="29" t="inlineStr">
        <is>
          <t>2.0%</t>
        </is>
      </c>
      <c r="D27" s="29" t="inlineStr">
        <is>
          <t>2.5% (base)</t>
        </is>
      </c>
      <c r="E27" s="29" t="inlineStr">
        <is>
          <t>3.0%</t>
        </is>
      </c>
      <c r="F27" s="29" t="inlineStr">
        <is>
          <t>3.5%</t>
        </is>
      </c>
    </row>
    <row r="28" ht="15" customHeight="1" s="24">
      <c r="A28" s="30" t="inlineStr">
        <is>
          <t>8.5%</t>
        </is>
      </c>
      <c r="B28" s="38" t="n">
        <v>92</v>
      </c>
      <c r="C28" s="38" t="n">
        <v>96</v>
      </c>
      <c r="D28" s="38" t="n">
        <v>102</v>
      </c>
      <c r="E28" s="38" t="n">
        <v>108</v>
      </c>
      <c r="F28" s="38" t="n">
        <v>116</v>
      </c>
    </row>
    <row r="29" ht="15" customHeight="1" s="24">
      <c r="A29" s="30" t="inlineStr">
        <is>
          <t>9.0%</t>
        </is>
      </c>
      <c r="B29" s="38" t="n">
        <v>85</v>
      </c>
      <c r="C29" s="38" t="n">
        <v>89</v>
      </c>
      <c r="D29" s="38" t="n">
        <v>94</v>
      </c>
      <c r="E29" s="38" t="n">
        <v>99</v>
      </c>
      <c r="F29" s="38" t="n">
        <v>106</v>
      </c>
    </row>
    <row r="30" ht="15" customHeight="1" s="24">
      <c r="A30" s="30" t="inlineStr">
        <is>
          <t>9.5% (base)</t>
        </is>
      </c>
      <c r="B30" s="38" t="n">
        <v>79</v>
      </c>
      <c r="C30" s="38" t="n">
        <v>83</v>
      </c>
      <c r="D30" s="40" t="n">
        <v>88</v>
      </c>
      <c r="E30" s="38" t="n">
        <v>92</v>
      </c>
      <c r="F30" s="38" t="n">
        <v>98</v>
      </c>
    </row>
    <row r="31" ht="15" customHeight="1" s="24">
      <c r="A31" s="30" t="inlineStr">
        <is>
          <t>10.0%</t>
        </is>
      </c>
      <c r="B31" s="38" t="n">
        <v>74</v>
      </c>
      <c r="C31" s="38" t="n">
        <v>77</v>
      </c>
      <c r="D31" s="38" t="n">
        <v>82</v>
      </c>
      <c r="E31" s="38" t="n">
        <v>86</v>
      </c>
      <c r="F31" s="38" t="n">
        <v>91</v>
      </c>
    </row>
    <row r="32" ht="15" customHeight="1" s="24">
      <c r="A32" s="30" t="inlineStr">
        <is>
          <t>10.5%</t>
        </is>
      </c>
      <c r="B32" s="38" t="n">
        <v>69</v>
      </c>
      <c r="C32" s="38" t="n">
        <v>72</v>
      </c>
      <c r="D32" s="38" t="n">
        <v>76</v>
      </c>
      <c r="E32" s="38" t="n">
        <v>80</v>
      </c>
      <c r="F32" s="38" t="n">
        <v>84</v>
      </c>
    </row>
  </sheetData>
  <mergeCells count="6">
    <mergeCell ref="A4:H4"/>
    <mergeCell ref="C6:H6"/>
    <mergeCell ref="A26:H26"/>
    <mergeCell ref="C5:H5"/>
    <mergeCell ref="A2:H2"/>
    <mergeCell ref="A8:H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G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23" min="1" max="1"/>
    <col width="13" customWidth="1" style="23" min="2" max="6"/>
    <col width="38" customWidth="1" style="23" min="7" max="7"/>
  </cols>
  <sheetData>
    <row r="1" ht="22" customHeight="1" s="24"/>
    <row r="2" ht="15" customHeight="1" s="24">
      <c r="A2" s="25" t="inlineStr">
        <is>
          <t>Comparables · múltiplos del mercado HOY</t>
        </is>
      </c>
      <c r="B2" s="26" t="n"/>
      <c r="C2" s="26" t="n"/>
      <c r="D2" s="26" t="n"/>
      <c r="E2" s="26" t="n"/>
      <c r="F2" s="26" t="n"/>
      <c r="G2" s="27" t="n"/>
    </row>
    <row r="3" ht="21.75" customHeight="1" s="24"/>
    <row r="4" ht="30" customHeight="1" s="24">
      <c r="A4" s="28" t="inlineStr">
        <is>
          <t>Peer cotizado</t>
        </is>
      </c>
      <c r="B4" s="29" t="inlineStr">
        <is>
          <t>Revenue ($B)</t>
        </is>
      </c>
      <c r="C4" s="29" t="inlineStr">
        <is>
          <t>EBITDA margen</t>
        </is>
      </c>
      <c r="D4" s="29" t="inlineStr">
        <is>
          <t>EV/EBITDA</t>
        </is>
      </c>
      <c r="E4" s="29" t="inlineStr">
        <is>
          <t>P/E</t>
        </is>
      </c>
      <c r="F4" s="29" t="inlineStr">
        <is>
          <t>Crecimiento %</t>
        </is>
      </c>
      <c r="G4" s="29" t="inlineStr">
        <is>
          <t>Comentario</t>
        </is>
      </c>
    </row>
    <row r="5" ht="30" customHeight="1" s="24">
      <c r="A5" s="30" t="inlineStr">
        <is>
          <t>Empresas COPEC (consumer)</t>
        </is>
      </c>
      <c r="B5" s="41" t="n">
        <v>1.5</v>
      </c>
      <c r="C5" s="42" t="n">
        <v>0.16</v>
      </c>
      <c r="D5" s="43" t="n">
        <v>9.5</v>
      </c>
      <c r="E5" s="43" t="n">
        <v>14</v>
      </c>
      <c r="F5" s="42" t="n">
        <v>0.06</v>
      </c>
      <c r="G5" s="32" t="inlineStr">
        <is>
          <t>Diversificada chilena. Buen comp por geografía.</t>
        </is>
      </c>
    </row>
    <row r="6" ht="30" customHeight="1" s="24">
      <c r="A6" s="30" t="inlineStr">
        <is>
          <t>Embotelladora Andina (real)</t>
        </is>
      </c>
      <c r="B6" s="41" t="n">
        <v>5.2</v>
      </c>
      <c r="C6" s="42" t="n">
        <v>0.2</v>
      </c>
      <c r="D6" s="43" t="n">
        <v>11</v>
      </c>
      <c r="E6" s="43" t="n">
        <v>16</v>
      </c>
      <c r="F6" s="42" t="n">
        <v>0.08</v>
      </c>
      <c r="G6" s="32" t="inlineStr">
        <is>
          <t>Distribución bebidas LATAM. Diferente categoría pero similar mid-market chileno.</t>
        </is>
      </c>
    </row>
    <row r="7" ht="30" customHeight="1" s="24">
      <c r="A7" s="30" t="inlineStr">
        <is>
          <t>Café Capresso (peer hipotético)</t>
        </is>
      </c>
      <c r="B7" s="41" t="n">
        <v>0.4</v>
      </c>
      <c r="C7" s="42" t="n">
        <v>0.18</v>
      </c>
      <c r="D7" s="43" t="n">
        <v>10.5</v>
      </c>
      <c r="E7" s="43" t="n">
        <v>15</v>
      </c>
      <c r="F7" s="42" t="n">
        <v>0.07000000000000001</v>
      </c>
      <c r="G7" s="32" t="inlineStr">
        <is>
          <t>Mismo subsegmento — más cercano comp.</t>
        </is>
      </c>
    </row>
    <row r="8" ht="30" customHeight="1" s="24">
      <c r="A8" s="30" t="inlineStr">
        <is>
          <t>Premier Foods (UK)</t>
        </is>
      </c>
      <c r="B8" s="41" t="n">
        <v>1.2</v>
      </c>
      <c r="C8" s="42" t="n">
        <v>0.14</v>
      </c>
      <c r="D8" s="43" t="n">
        <v>8.5</v>
      </c>
      <c r="E8" s="43" t="n">
        <v>13</v>
      </c>
      <c r="F8" s="42" t="n">
        <v>0.04</v>
      </c>
      <c r="G8" s="32" t="inlineStr">
        <is>
          <t>Geo distinta. Ajuste por CRP requerido.</t>
        </is>
      </c>
    </row>
    <row r="9" ht="19.4" customHeight="1" s="24">
      <c r="A9" s="30" t="inlineStr">
        <is>
          <t>Hain Celestial (US)</t>
        </is>
      </c>
      <c r="B9" s="41" t="n">
        <v>1.7</v>
      </c>
      <c r="C9" s="42" t="n">
        <v>0.1</v>
      </c>
      <c r="D9" s="43" t="n">
        <v>12</v>
      </c>
      <c r="E9" s="43" t="n">
        <v>18</v>
      </c>
      <c r="F9" s="42" t="n">
        <v>0.05</v>
      </c>
      <c r="G9" s="32" t="inlineStr">
        <is>
          <t>Premium positioning. No directly comparable mid-market LATAM.</t>
        </is>
      </c>
    </row>
    <row r="10" ht="21.75" customHeight="1" s="24"/>
    <row r="11" ht="15" customHeight="1" s="24">
      <c r="A11" s="29" t="inlineStr">
        <is>
          <t>Estadísticas del peer set</t>
        </is>
      </c>
      <c r="B11" s="26" t="n"/>
      <c r="C11" s="26" t="n"/>
      <c r="D11" s="26" t="n"/>
      <c r="E11" s="26" t="n"/>
      <c r="F11" s="26" t="n"/>
      <c r="G11" s="27" t="n"/>
    </row>
    <row r="12" ht="15" customHeight="1" s="24">
      <c r="A12" s="28" t="inlineStr">
        <is>
          <t>Media</t>
        </is>
      </c>
      <c r="D12" s="44">
        <f>AVERAGE(D5:D10)</f>
        <v/>
      </c>
      <c r="E12" s="44">
        <f>AVERAGE(E5:E10)</f>
        <v/>
      </c>
    </row>
    <row r="13" ht="15" customHeight="1" s="24">
      <c r="A13" s="28" t="inlineStr">
        <is>
          <t>Mediana</t>
        </is>
      </c>
      <c r="D13" s="44">
        <f>MEDIAN(D5:D10)</f>
        <v/>
      </c>
      <c r="E13" s="44">
        <f>MEDIAN(E5:E10)</f>
        <v/>
      </c>
    </row>
    <row r="14" ht="15" customHeight="1" s="24">
      <c r="A14" s="28" t="inlineStr">
        <is>
          <t>Min</t>
        </is>
      </c>
      <c r="D14" s="44">
        <f>MIN(D5:D10)</f>
        <v/>
      </c>
      <c r="E14" s="44">
        <f>MIN(E5:E10)</f>
        <v/>
      </c>
    </row>
    <row r="15" ht="15" customHeight="1" s="24">
      <c r="A15" s="28" t="inlineStr">
        <is>
          <t>Max</t>
        </is>
      </c>
      <c r="D15" s="44">
        <f>MAX(D5:D10)</f>
        <v/>
      </c>
      <c r="E15" s="44">
        <f>MAX(E5:E10)</f>
        <v/>
      </c>
    </row>
    <row r="16" ht="21.75" customHeight="1" s="24"/>
    <row r="17" ht="45.75" customHeight="1" s="24">
      <c r="A17" s="29" t="inlineStr">
        <is>
          <t>Aplicado a Tostadora — Equity value</t>
        </is>
      </c>
      <c r="B17" s="26" t="n"/>
      <c r="C17" s="26" t="n"/>
      <c r="D17" s="26" t="n"/>
      <c r="E17" s="26" t="n"/>
      <c r="F17" s="26" t="n"/>
      <c r="G17" s="27" t="n"/>
    </row>
    <row r="18" ht="63.75" customHeight="1" s="24">
      <c r="A18" s="30" t="inlineStr">
        <is>
          <t>Tostadora EBITDA × EV/EBITDA mediana</t>
        </is>
      </c>
      <c r="B18" s="35">
        <f>'Target inputs'!B6*D13</f>
        <v/>
      </c>
      <c r="C18" s="32" t="inlineStr">
        <is>
          <t>EBITDA $12M × EV/EBITDA mediana del peer set ≈ $115M.</t>
        </is>
      </c>
    </row>
    <row r="19" ht="27.75" customHeight="1" s="24">
      <c r="A19" s="30" t="inlineStr">
        <is>
          <t>Tostadora NI × P/E mediana</t>
        </is>
      </c>
      <c r="B19" s="35">
        <f>'Target inputs'!B7*E13</f>
        <v/>
      </c>
      <c r="C19" s="32" t="inlineStr">
        <is>
          <t>NI $7M × P/E mediana ≈ $112M. Comps típicamente convergen en banda $108-118M.</t>
        </is>
      </c>
    </row>
    <row r="20" ht="28.35" customHeight="1" s="24">
      <c r="A20" s="28" t="inlineStr">
        <is>
          <t>Rango Comparables</t>
        </is>
      </c>
      <c r="B20" s="37">
        <f>B18*0.92</f>
        <v/>
      </c>
      <c r="C20" s="37">
        <f>B18*1.08</f>
        <v/>
      </c>
      <c r="D20" s="32" t="inlineStr">
        <is>
          <t>Banda ±8% sobre la mediana.</t>
        </is>
      </c>
    </row>
  </sheetData>
  <mergeCells count="3">
    <mergeCell ref="A2:G2"/>
    <mergeCell ref="A11:G11"/>
    <mergeCell ref="A17:G1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8B5CF6"/>
    <outlinePr summaryBelow="1" summaryRight="1"/>
    <pageSetUpPr fitToPage="0"/>
  </sheetPr>
  <dimension ref="A2:G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23" min="1" max="1"/>
    <col width="10" customWidth="1" style="23" min="2" max="2"/>
    <col width="12" customWidth="1" style="23" min="3" max="4"/>
    <col width="14" customWidth="1" style="23" min="5" max="6"/>
    <col width="38" customWidth="1" style="23" min="7" max="7"/>
  </cols>
  <sheetData>
    <row r="1" ht="22" customHeight="1" s="24"/>
    <row r="2" ht="15" customHeight="1" s="24">
      <c r="A2" s="25" t="inlineStr">
        <is>
          <t>Precedentes · M&amp;A pasados con control premiums</t>
        </is>
      </c>
      <c r="B2" s="26" t="n"/>
      <c r="C2" s="26" t="n"/>
      <c r="D2" s="26" t="n"/>
      <c r="E2" s="26" t="n"/>
      <c r="F2" s="26" t="n"/>
      <c r="G2" s="27" t="n"/>
    </row>
    <row r="3" ht="21.75" customHeight="1" s="24"/>
    <row r="4" ht="30" customHeight="1" s="24">
      <c r="A4" s="28" t="inlineStr">
        <is>
          <t>Transacción</t>
        </is>
      </c>
      <c r="B4" s="29" t="inlineStr">
        <is>
          <t>Año</t>
        </is>
      </c>
      <c r="C4" s="29" t="inlineStr">
        <is>
          <t>EV ($M)</t>
        </is>
      </c>
      <c r="D4" s="29" t="inlineStr">
        <is>
          <t>EV/EBITDA</t>
        </is>
      </c>
      <c r="E4" s="29" t="inlineStr">
        <is>
          <t>% premium</t>
        </is>
      </c>
      <c r="F4" s="29" t="inlineStr">
        <is>
          <t>Ajuste tiempo</t>
        </is>
      </c>
      <c r="G4" s="29" t="inlineStr">
        <is>
          <t>Contexto</t>
        </is>
      </c>
    </row>
    <row r="5" ht="30" customHeight="1" s="24">
      <c r="A5" s="30" t="inlineStr">
        <is>
          <t>Holding alimentos CL ← FMCG #2</t>
        </is>
      </c>
      <c r="B5" s="45" t="n">
        <v>2023</v>
      </c>
      <c r="C5" s="38" t="n">
        <v>140</v>
      </c>
      <c r="D5" s="43" t="n">
        <v>13</v>
      </c>
      <c r="E5" s="42" t="n">
        <v>0.3</v>
      </c>
      <c r="F5" s="46" t="n">
        <v>0.95</v>
      </c>
      <c r="G5" s="32" t="inlineStr">
        <is>
          <t>Deal reciente, contexto similar tasas altas.</t>
        </is>
      </c>
    </row>
    <row r="6" ht="30" customHeight="1" s="24">
      <c r="A6" s="30" t="inlineStr">
        <is>
          <t>Distribuidora Cono Sur ← MX major</t>
        </is>
      </c>
      <c r="B6" s="45" t="n">
        <v>2022</v>
      </c>
      <c r="C6" s="38" t="n">
        <v>220</v>
      </c>
      <c r="D6" s="43" t="n">
        <v>14.5</v>
      </c>
      <c r="E6" s="42" t="n">
        <v>0.35</v>
      </c>
      <c r="F6" s="46" t="n">
        <v>0.92</v>
      </c>
      <c r="G6" s="32" t="inlineStr">
        <is>
          <t>Premium alto. Ajustar por mood expansivo 2022.</t>
        </is>
      </c>
    </row>
    <row r="7" ht="30" customHeight="1" s="24">
      <c r="A7" s="30" t="inlineStr">
        <is>
          <t>Café Premium SA ← global Strategic</t>
        </is>
      </c>
      <c r="B7" s="45" t="n">
        <v>2021</v>
      </c>
      <c r="C7" s="38" t="n">
        <v>180</v>
      </c>
      <c r="D7" s="43" t="n">
        <v>16</v>
      </c>
      <c r="E7" s="42" t="n">
        <v>0.4</v>
      </c>
      <c r="F7" s="46" t="n">
        <v>0.85</v>
      </c>
      <c r="G7" s="32" t="inlineStr">
        <is>
          <t>2021 mood fiebre post-COVID. Down-weight.</t>
        </is>
      </c>
    </row>
    <row r="8" ht="30" customHeight="1" s="24">
      <c r="A8" s="30" t="inlineStr">
        <is>
          <t>Restaurant chain CL ← family LBO</t>
        </is>
      </c>
      <c r="B8" s="45" t="n">
        <v>2024</v>
      </c>
      <c r="C8" s="38" t="n">
        <v>90</v>
      </c>
      <c r="D8" s="43" t="n">
        <v>11</v>
      </c>
      <c r="E8" s="42" t="n">
        <v>0.2</v>
      </c>
      <c r="F8" s="46" t="n">
        <v>1</v>
      </c>
      <c r="G8" s="32" t="inlineStr">
        <is>
          <t>Reciente, similar geografía. Anchor central.</t>
        </is>
      </c>
    </row>
    <row r="9" ht="19.4" customHeight="1" s="24">
      <c r="A9" s="30" t="inlineStr">
        <is>
          <t>Tostaduria local ← regional</t>
        </is>
      </c>
      <c r="B9" s="45" t="n">
        <v>2024</v>
      </c>
      <c r="C9" s="38" t="n">
        <v>60</v>
      </c>
      <c r="D9" s="43" t="n">
        <v>10.5</v>
      </c>
      <c r="E9" s="42" t="n">
        <v>0.18</v>
      </c>
      <c r="F9" s="46" t="n">
        <v>1</v>
      </c>
      <c r="G9" s="32" t="inlineStr">
        <is>
          <t>Mismo subsegmento. Premium menor por concentración familiar.</t>
        </is>
      </c>
    </row>
    <row r="10" ht="21.75" customHeight="1" s="24"/>
    <row r="11" ht="15" customHeight="1" s="24">
      <c r="A11" s="29" t="inlineStr">
        <is>
          <t>Múltiplos ajustados por tiempo (mediana)</t>
        </is>
      </c>
      <c r="B11" s="26" t="n"/>
      <c r="C11" s="26" t="n"/>
      <c r="D11" s="26" t="n"/>
      <c r="E11" s="26" t="n"/>
      <c r="F11" s="26" t="n"/>
      <c r="G11" s="27" t="n"/>
    </row>
    <row r="12" ht="15" customHeight="1" s="24">
      <c r="A12" s="30" t="inlineStr">
        <is>
          <t>EV/EBITDA mediana ajustada</t>
        </is>
      </c>
      <c r="D12" s="44">
        <f>MEDIAN(D5:D9)*MEDIAN(F5:F9)</f>
        <v/>
      </c>
      <c r="E12" s="32" t="inlineStr">
        <is>
          <t>Mediana × factor mediano (ajuste por época).</t>
        </is>
      </c>
    </row>
    <row r="13" ht="21.75" customHeight="1" s="24"/>
    <row r="14" ht="15" customHeight="1" s="24">
      <c r="A14" s="29" t="inlineStr">
        <is>
          <t>Aplicado a Tostadora — Equity value</t>
        </is>
      </c>
      <c r="B14" s="26" t="n"/>
      <c r="C14" s="26" t="n"/>
      <c r="D14" s="26" t="n"/>
      <c r="E14" s="26" t="n"/>
      <c r="F14" s="26" t="n"/>
      <c r="G14" s="27" t="n"/>
    </row>
    <row r="15" ht="15" customHeight="1" s="24">
      <c r="A15" s="30" t="inlineStr">
        <is>
          <t>EBITDA × múltiplo ajustado</t>
        </is>
      </c>
      <c r="B15" s="35">
        <f>'Target inputs'!B6*D12</f>
        <v/>
      </c>
      <c r="C15" s="32" t="inlineStr">
        <is>
          <t>Asume el múltiplo M&amp;A ya incluye control premium.</t>
        </is>
      </c>
    </row>
    <row r="16" ht="15" customHeight="1" s="24">
      <c r="A16" s="28" t="inlineStr">
        <is>
          <t>Rango Precedentes</t>
        </is>
      </c>
      <c r="B16" s="37">
        <f>B15*0.85</f>
        <v/>
      </c>
      <c r="C16" s="37">
        <f>B15*1.15</f>
        <v/>
      </c>
      <c r="D16" s="32" t="inlineStr">
        <is>
          <t>Banda ±15% — más dispersión que comps porque deals reflejan condiciones específicas.</t>
        </is>
      </c>
    </row>
  </sheetData>
  <mergeCells count="6">
    <mergeCell ref="A14:G14"/>
    <mergeCell ref="C15:G15"/>
    <mergeCell ref="D16:G16"/>
    <mergeCell ref="A2:G2"/>
    <mergeCell ref="E12:G12"/>
    <mergeCell ref="A11:G1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F59E0B"/>
    <outlinePr summaryBelow="1" summaryRight="1"/>
    <pageSetUpPr fitToPage="0"/>
  </sheetPr>
  <dimension ref="A2:E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6" customWidth="1" style="23" min="1" max="1"/>
    <col width="16" customWidth="1" style="23" min="2" max="3"/>
    <col width="14" customWidth="1" style="23" min="4" max="4"/>
    <col width="45" customWidth="1" style="23" min="5" max="5"/>
  </cols>
  <sheetData>
    <row r="1" ht="22" customHeight="1" s="24"/>
    <row r="2" ht="15" customHeight="1" s="24">
      <c r="A2" s="25" t="inlineStr">
        <is>
          <t>Football field — los 3 métodos en una imagen</t>
        </is>
      </c>
      <c r="B2" s="26" t="n"/>
      <c r="C2" s="26" t="n"/>
      <c r="D2" s="26" t="n"/>
      <c r="E2" s="27" t="n"/>
    </row>
    <row r="3" ht="21.75" customHeight="1" s="24"/>
    <row r="4" ht="15" customHeight="1" s="24">
      <c r="A4" s="28" t="inlineStr">
        <is>
          <t>Método</t>
        </is>
      </c>
      <c r="B4" s="29" t="inlineStr">
        <is>
          <t>Piso ($M)</t>
        </is>
      </c>
      <c r="C4" s="29" t="inlineStr">
        <is>
          <t>Techo ($M)</t>
        </is>
      </c>
      <c r="D4" s="29" t="inlineStr">
        <is>
          <t>Mediana</t>
        </is>
      </c>
      <c r="E4" s="29" t="inlineStr">
        <is>
          <t>Lectura</t>
        </is>
      </c>
    </row>
    <row r="5" ht="15" customHeight="1" s="24">
      <c r="A5" s="30" t="inlineStr">
        <is>
          <t>DCF (fundamental)</t>
        </is>
      </c>
      <c r="B5" s="34">
        <f>DCF!B24*0.85</f>
        <v/>
      </c>
      <c r="C5" s="34">
        <f>DCF!B24*1.15</f>
        <v/>
      </c>
      <c r="D5" s="34">
        <f>DCF!B24</f>
        <v/>
      </c>
      <c r="E5" s="32" t="inlineStr">
        <is>
          <t>Refleja cash flows propios del target. Piso del valor stand-alone.</t>
        </is>
      </c>
    </row>
    <row r="6" ht="15" customHeight="1" s="24">
      <c r="A6" s="30" t="inlineStr">
        <is>
          <t>Comparables (mercado HOY)</t>
        </is>
      </c>
      <c r="B6" s="34">
        <f>Comparables!B20</f>
        <v/>
      </c>
      <c r="C6" s="34">
        <f>Comparables!C20</f>
        <v/>
      </c>
      <c r="D6" s="34">
        <f>AVERAGE(B6:C6)</f>
        <v/>
      </c>
      <c r="E6" s="32" t="inlineStr">
        <is>
          <t>Refleja sentiment del mercado público hoy.</t>
        </is>
      </c>
    </row>
    <row r="7" ht="15" customHeight="1" s="24">
      <c r="A7" s="30" t="inlineStr">
        <is>
          <t>Precedentes M&amp;A (con control)</t>
        </is>
      </c>
      <c r="B7" s="34">
        <f>Precedentes!B15</f>
        <v/>
      </c>
      <c r="C7" s="34">
        <f>Precedentes!C15</f>
        <v/>
      </c>
      <c r="D7" s="34">
        <f>AVERAGE(B7:C7)</f>
        <v/>
      </c>
      <c r="E7" s="32" t="inlineStr">
        <is>
          <t>Refleja control premiums típicos del sector.</t>
        </is>
      </c>
    </row>
    <row r="8" ht="21.75" customHeight="1" s="24"/>
    <row r="9" ht="18.75" customHeight="1" s="24">
      <c r="A9" s="29" t="inlineStr">
        <is>
          <t>Zona de cruce (banda defendible)</t>
        </is>
      </c>
      <c r="B9" s="26" t="n"/>
      <c r="C9" s="26" t="n"/>
      <c r="D9" s="26" t="n"/>
      <c r="E9" s="27" t="n"/>
    </row>
    <row r="10" ht="20.25" customHeight="1" s="24">
      <c r="A10" s="30" t="inlineStr">
        <is>
          <t>Cruce DCF+Comparables</t>
        </is>
      </c>
      <c r="B10" s="35">
        <f>MAX(B5,B6)</f>
        <v/>
      </c>
      <c r="C10" s="35">
        <f>MIN(C5,C6)</f>
        <v/>
      </c>
      <c r="E10" s="32" t="inlineStr">
        <is>
          <t>Donde DCF y Comps se intersectan = banda de alta confianza si hay overlap real.</t>
        </is>
      </c>
    </row>
    <row r="11" ht="20.85" customHeight="1" s="24">
      <c r="A11" s="30" t="inlineStr">
        <is>
          <t>Cruce Comparables+Precedentes</t>
        </is>
      </c>
      <c r="B11" s="34">
        <f>MAX(B6,B7)</f>
        <v/>
      </c>
      <c r="C11" s="34">
        <f>MIN(C6,C7)</f>
        <v/>
      </c>
      <c r="E11" s="32" t="inlineStr">
        <is>
          <t>Banda donde el mercado público + control premium convergen.</t>
        </is>
      </c>
    </row>
    <row r="12" ht="21.75" customHeight="1" s="24"/>
    <row r="13" ht="27.75" customHeight="1" s="24">
      <c r="A13" s="29" t="inlineStr">
        <is>
          <t>Recomendación de oferta</t>
        </is>
      </c>
      <c r="B13" s="26" t="n"/>
      <c r="C13" s="26" t="n"/>
      <c r="D13" s="26" t="n"/>
      <c r="E13" s="27" t="n"/>
    </row>
    <row r="14" ht="28.35" customHeight="1" s="24">
      <c r="A14" s="28" t="inlineStr">
        <is>
          <t>Banda de negociación</t>
        </is>
      </c>
      <c r="B14" s="37">
        <f>D5</f>
        <v/>
      </c>
      <c r="C14" s="37">
        <f>D7</f>
        <v/>
      </c>
      <c r="E14" s="32" t="inlineStr">
        <is>
          <t>Piso: DCF mediana (valor fundamental). Techo: Precedentes mediana (control premium histórico). Aterrizar dentro de la banda según sinergias específicas.</t>
        </is>
      </c>
    </row>
    <row r="15" ht="99.75" customHeight="1" s="24"/>
    <row r="16" ht="28.35" customHeight="1" s="24">
      <c r="A16" s="32" t="inlineStr">
        <is>
          <t>Tostadora del Sur: rango defendible ~$85-140M. DCF marca el piso ($85M). Comparables central (~$115M). Precedentes techo ($140M). El vendedor pide $140M — exactamente el techo. Oferta defendible: $105-115M (entre DCF y Comps), aterrizando arriba sólo si sinergias específicas (Módulo 5.1) justifican subir desde el piso. Pagar $140M sin sinergias creíbles = overpaying ~$25-30M vs fundamental — exactamente el patrón Mauboussin de M&amp;A que destruye valor.</t>
        </is>
      </c>
    </row>
  </sheetData>
  <mergeCells count="4">
    <mergeCell ref="A2:E2"/>
    <mergeCell ref="A16:E16"/>
    <mergeCell ref="A9:E9"/>
    <mergeCell ref="A13:E1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F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23" min="1" max="1"/>
  </cols>
  <sheetData>
    <row r="1" ht="22" customHeight="1" s="24"/>
    <row r="2" ht="15" customHeight="1" s="24">
      <c r="A2" s="25" t="inlineStr">
        <is>
          <t>Tu valoración · adapta el template a tu target</t>
        </is>
      </c>
      <c r="B2" s="26" t="n"/>
      <c r="C2" s="26" t="n"/>
      <c r="D2" s="26" t="n"/>
      <c r="E2" s="26" t="n"/>
      <c r="F2" s="27" t="n"/>
    </row>
    <row r="3" ht="99.75" customHeight="1" s="24"/>
    <row r="4" ht="37.3" customHeight="1" s="24">
      <c r="A4" s="32" t="inlineStr">
        <is>
          <t>Para tu próxima valoración: (1) En 'Target inputs', llena las cifras del target real. (2) En 'DCF', ajusta WACC + growth terminal (lee de Módulo 6.2 si tu acquirer es chileno). (3) En 'Comparables', construye tu propio peer set defendible (mismo país preferible). (4) En 'Precedentes', busca deals últimos 3 años. (5) Revisa 'Football field' — si los tres métodos NO convergen, esa divergencia es la conversación con el directorio. Nunca presentes UN número.</t>
        </is>
      </c>
    </row>
  </sheetData>
  <mergeCells count="2">
    <mergeCell ref="A2:F2"/>
    <mergeCell ref="A4:F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2026-05-14T05:07:41Z</dcterms:created>
  <dcterms:modified xmlns:dcterms="http://purl.org/dc/terms/" xmlns:xsi="http://www.w3.org/2001/XMLSchema-instance" xsi:type="dcterms:W3CDTF">2026-05-15T03:41:41Z</dcterms:modified>
  <cp:revision>0</cp:revision>
</cp:coreProperties>
</file>