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ivers" sheetId="1" state="visible" r:id="rId3"/>
    <sheet name="P&amp;L 5 años" sheetId="2" state="visible" r:id="rId4"/>
    <sheet name="Balance General" sheetId="3" state="visible" r:id="rId5"/>
    <sheet name="Estado de Flujos" sheetId="4" state="visible" r:id="rId6"/>
    <sheet name="Test 4 puntos" sheetId="5" state="visible" r:id="rId7"/>
    <sheet name="Tu modelo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<sst xmlns="http://schemas.openxmlformats.org/spreadsheetml/2006/main" count="167" uniqueCount="137">
  <si>
    <t xml:space="preserve">deabaco · Andina · Drivers — single source of truth · Módulo 2.4</t>
  </si>
  <si>
    <t xml:space="preserve">Driver</t>
  </si>
  <si>
    <t xml:space="preserve">Y0 (actual)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</si>
  <si>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</si>
  <si>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</si>
  <si>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</si>
  <si>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</si>
  <si>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</si>
  <si>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Notas</t>
  </si>
  <si>
    <t xml:space="preserve">CRECIMIENTO</t>
  </si>
  <si>
    <t xml:space="preserve">Volume growth %</t>
  </si>
  <si>
    <t xml:space="preserve">—</t>
  </si>
  <si>
    <t xml:space="preserve">FMCG café orgánico LATAM.</t>
  </si>
  <si>
    <t xml:space="preserve">Price growth %</t>
  </si>
  <si>
    <t xml:space="preserve">Inflación CL + valor real.</t>
  </si>
  <si>
    <t xml:space="preserve">Mix uplift %</t>
  </si>
  <si>
    <t xml:space="preserve">Trade-up a SKUs premium.</t>
  </si>
  <si>
    <t xml:space="preserve">MARGEN</t>
  </si>
  <si>
    <t xml:space="preserve">Margen bruto %</t>
  </si>
  <si>
    <t xml:space="preserve">Andina actual 35%.</t>
  </si>
  <si>
    <t xml:space="preserve">SG&amp;A % revenue</t>
  </si>
  <si>
    <t xml:space="preserve">Apalancamiento operativo desde Y3.</t>
  </si>
  <si>
    <t xml:space="preserve">D&amp;A % revenue</t>
  </si>
  <si>
    <t xml:space="preserve">Depreciación activos fijos.</t>
  </si>
  <si>
    <t xml:space="preserve">Tasa impositiva %</t>
  </si>
  <si>
    <t xml:space="preserve">Chile Régimen General DL 824.</t>
  </si>
  <si>
    <t xml:space="preserve">CAPITAL DE TRABAJO</t>
  </si>
  <si>
    <t xml:space="preserve">DSO (días cobranza)</t>
  </si>
  <si>
    <t xml:space="preserve">Andina actual 45 días.</t>
  </si>
  <si>
    <t xml:space="preserve">DIO (días inventario)</t>
  </si>
  <si>
    <t xml:space="preserve">Bajando con mejora supply chain.</t>
  </si>
  <si>
    <t xml:space="preserve">DPO (días pago)</t>
  </si>
  <si>
    <t xml:space="preserve">Estable.</t>
  </si>
  <si>
    <t xml:space="preserve">CAPEX Y FINANCIAMIENTO</t>
  </si>
  <si>
    <t xml:space="preserve">Capex mantenimiento % revenue</t>
  </si>
  <si>
    <t xml:space="preserve">Mantener planta.</t>
  </si>
  <si>
    <t xml:space="preserve">Capex crecimiento (USD M)</t>
  </si>
  <si>
    <t xml:space="preserve">Y1: $2M México + $2M expansion CL.</t>
  </si>
  <si>
    <t xml:space="preserve">Δ Deuda (drawdown−repago, USD M)</t>
  </si>
  <si>
    <t xml:space="preserve">Y1 línea, luego amortización.</t>
  </si>
  <si>
    <t xml:space="preserve">Tasa interés deuda %</t>
  </si>
  <si>
    <t xml:space="preserve">Mejora con trayectoria.</t>
  </si>
  <si>
    <t xml:space="preserve">Payout dividendo % NI</t>
  </si>
  <si>
    <t xml:space="preserve">Sube con caja excedente Y4+.</t>
  </si>
  <si>
    <t xml:space="preserve">TODOS los inputs viven aquí (celdas amarillas). Las pestañas P&amp;L, Balance General y Estado de Flujos LEEN de esta hoja vía fórmulas. Para correr un escenario: cambia drivers aquí; los tres estados recalculan. 'Test del único input' del módulo 2.4: si tienes que tocar las hojas downstream, el modelo está mal.</t>
  </si>
  <si>
    <t xml:space="preserve">P&amp;L 5 años · Andina S.A. · LATAM convention</t>
  </si>
  <si>
    <t xml:space="preserve">USD M</t>
  </si>
  <si>
    <t xml:space="preserve">CAGR</t>
  </si>
  <si>
    <t xml:space="preserve">Fórmula</t>
  </si>
  <si>
    <t xml:space="preserve">Ingresos</t>
  </si>
  <si>
    <t xml:space="preserve">Y0 input. Y1+ = prior × (1+vol+price+mix).</t>
  </si>
  <si>
    <t xml:space="preserve">Costo de ventas (COGS)</t>
  </si>
  <si>
    <t xml:space="preserve">Resultado bruto</t>
  </si>
  <si>
    <t xml:space="preserve">    Margen bruto (%)</t>
  </si>
  <si>
    <t xml:space="preserve">Gastos de operación (SG&amp;A)</t>
  </si>
  <si>
    <t xml:space="preserve">    SG&amp;A / Ingresos (%)</t>
  </si>
  <si>
    <t xml:space="preserve">EBITDA</t>
  </si>
  <si>
    <t xml:space="preserve">    Margen EBITDA (%)</t>
  </si>
  <si>
    <t xml:space="preserve">Depreciación y amortización</t>
  </si>
  <si>
    <t xml:space="preserve">Resultado operacional (EBIT)</t>
  </si>
  <si>
    <t xml:space="preserve">    Margen operacional (%)</t>
  </si>
  <si>
    <t xml:space="preserve">Gastos financieros</t>
  </si>
  <si>
    <t xml:space="preserve">Y0 = histórico. Y1+ = deuda opening × tasa.</t>
  </si>
  <si>
    <t xml:space="preserve">Utilidad antes de impuestos (EBT)</t>
  </si>
  <si>
    <t xml:space="preserve">Impuesto a la renta</t>
  </si>
  <si>
    <t xml:space="preserve">Utilidad neta</t>
  </si>
  <si>
    <t xml:space="preserve">    Margen neto (%)</t>
  </si>
  <si>
    <t xml:space="preserve">VERIFICACIONES · cada columna valida su año</t>
  </si>
  <si>
    <t xml:space="preserve">Resultado bruto = Ingresos − COGS</t>
  </si>
  <si>
    <t xml:space="preserve">EBITDA = Resultado bruto − SG&amp;A</t>
  </si>
  <si>
    <t xml:space="preserve">EBIT = EBITDA − D&amp;A</t>
  </si>
  <si>
    <t xml:space="preserve">Utilidad neta = EBIT − Intereses − Impuestos</t>
  </si>
  <si>
    <t xml:space="preserve">Margen bruto × Ingresos ≈ Resultado bruto</t>
  </si>
  <si>
    <t xml:space="preserve">Tasa efectiva impuestos ≈ 27% ± 0.5pp</t>
  </si>
  <si>
    <t xml:space="preserve">Balance General 5 años — roll-forward</t>
  </si>
  <si>
    <t xml:space="preserve">USD M (saldo fin año)</t>
  </si>
  <si>
    <t xml:space="preserve">Fórmula / nota</t>
  </si>
  <si>
    <t xml:space="preserve">ACTIVOS</t>
  </si>
  <si>
    <t xml:space="preserve">Caja</t>
  </si>
  <si>
    <t xml:space="preserve">Y1+ = prior + net cash (CF row 19).</t>
  </si>
  <si>
    <t xml:space="preserve">Cuentas por cobrar</t>
  </si>
  <si>
    <t xml:space="preserve">Inventario</t>
  </si>
  <si>
    <t xml:space="preserve">Activo fijo neto</t>
  </si>
  <si>
    <t xml:space="preserve">AFN Y-1 + capex_maint + capex_growth − D&amp;A (positiva, se resta).</t>
  </si>
  <si>
    <t xml:space="preserve">Total activos</t>
  </si>
  <si>
    <t xml:space="preserve">PASIVOS</t>
  </si>
  <si>
    <t xml:space="preserve">Cuentas por pagar</t>
  </si>
  <si>
    <t xml:space="preserve">Deuda total</t>
  </si>
  <si>
    <t xml:space="preserve">Total pasivos</t>
  </si>
  <si>
    <t xml:space="preserve">PATRIMONIO</t>
  </si>
  <si>
    <t xml:space="preserve">Capital social</t>
  </si>
  <si>
    <t xml:space="preserve">Utilidades retenidas</t>
  </si>
  <si>
    <t xml:space="preserve">Total patrimonio</t>
  </si>
  <si>
    <t xml:space="preserve">Total pasivos + patrimonio</t>
  </si>
  <si>
    <t xml:space="preserve">✓ Balance check (Activos − P+P)</t>
  </si>
  <si>
    <t xml:space="preserve">DEBE ser cero todos los años. Si no, modelo tiene error.</t>
  </si>
  <si>
    <t xml:space="preserve">Estado de Flujos — método indirecto</t>
  </si>
  <si>
    <t xml:space="preserve">OPERACIÓN</t>
  </si>
  <si>
    <t xml:space="preserve">+ D&amp;A</t>
  </si>
  <si>
    <t xml:space="preserve">− Δ AR</t>
  </si>
  <si>
    <t xml:space="preserve">− Δ Inventario</t>
  </si>
  <si>
    <t xml:space="preserve">+ Δ AP</t>
  </si>
  <si>
    <t xml:space="preserve">OCF</t>
  </si>
  <si>
    <t xml:space="preserve">INVERSIÓN</t>
  </si>
  <si>
    <t xml:space="preserve">− Capex total</t>
  </si>
  <si>
    <t xml:space="preserve">ICF</t>
  </si>
  <si>
    <t xml:space="preserve">FINANCIAMIENTO</t>
  </si>
  <si>
    <t xml:space="preserve">Δ Deuda</t>
  </si>
  <si>
    <t xml:space="preserve">− Dividendos</t>
  </si>
  <si>
    <t xml:space="preserve">FCF financiamiento</t>
  </si>
  <si>
    <t xml:space="preserve">NET CASH FLOW</t>
  </si>
  <si>
    <t xml:space="preserve">Caja inicial</t>
  </si>
  <si>
    <t xml:space="preserve">Caja final (calc)</t>
  </si>
  <si>
    <t xml:space="preserve">✓ Tie-out (CF caja − BS caja)</t>
  </si>
  <si>
    <t xml:space="preserve">El test de los 4 puntos · Módulo 2.4</t>
  </si>
  <si>
    <t xml:space="preserve">#</t>
  </si>
  <si>
    <t xml:space="preserve">Punto</t>
  </si>
  <si>
    <t xml:space="preserve">Estado</t>
  </si>
  <si>
    <t xml:space="preserve">Verificación</t>
  </si>
  <si>
    <t xml:space="preserve">1</t>
  </si>
  <si>
    <t xml:space="preserve">¿Cambia con un solo input?</t>
  </si>
  <si>
    <t xml:space="preserve">✓ PASS</t>
  </si>
  <si>
    <t xml:space="preserve">Cambia cualquier celda amarilla en 'Drivers'. Los tres estados se recalculan automáticamente.</t>
  </si>
  <si>
    <t xml:space="preserve">2</t>
  </si>
  <si>
    <t xml:space="preserve">¿Reconcilian las 3 líneas?</t>
  </si>
  <si>
    <t xml:space="preserve">Tie-out fila 24 de 'Estado de Flujos' verifica CF caja final = BS caja final. Y Balance check fila 21 de BS verifica Activos = Pasivos + Patrimonio.</t>
  </si>
  <si>
    <t xml:space="preserve">3</t>
  </si>
  <si>
    <t xml:space="preserve">¿Es auditable?</t>
  </si>
  <si>
    <t xml:space="preserve">Toda celda gris/calculada tiene fórmula trazable a Drivers o a otro output. Cero números hardcoded en P&amp;L/BS/CF (salvo Y0 baseline inputs en amarillo).</t>
  </si>
  <si>
    <t xml:space="preserve">4</t>
  </si>
  <si>
    <t xml:space="preserve">¿Sobrevive cambios estructurales?</t>
  </si>
  <si>
    <t xml:space="preserve">VIGILAR</t>
  </si>
  <si>
    <t xml:space="preserve">Para agregar una nueva línea de revenue (ej. México como columna separada), agrega columna en Drivers y replica fórmula. Estructura aguanta hasta ~10 líneas; más que eso necesita re-diseño.</t>
  </si>
  <si>
    <t xml:space="preserve">Próximo paso</t>
  </si>
  <si>
    <t xml:space="preserve">Cambia Volume growth Y1 en Drivers de 3% a 6%. Mira Revenue Y1 subir de $220 a $226, EBITDA Y1 ajustar, AR Y1 subir, OCF reaccionar, BS caja final Y1 ajustar — todo sin tocar otra celda. Eso es 'test del único input'. Verifica que el Balance check (BS fila 21) y el Tie-out (CF fila 24) siguen en cero después del cambio.</t>
  </si>
  <si>
    <t xml:space="preserve">Tu modelo · cómo adaptar a tu empresa</t>
  </si>
  <si>
    <t xml:space="preserve">Paso 1: en Drivers, reemplaza Y0 con cifras actuales y Y1-Y5 con TUS supuestos. Paso 2: en P&amp;L, ajusta Revenue Y0 e Interest Y0. Paso 3: en Balance General, ajusta Cash Y0, AFN Y0, Debt Y0, Capital Y0, Utilidades retenidas Y0 — los 5 deben balancear (Assets = L+E). Paso 4: NO cambies Estado de Flujos; las fórmulas reaccionan. Paso 5: verifica BS fila 21 (balance check) y CF fila 24 (tie-out) están en cero. Si no, hay input Y0 inconsistente.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</si>
</sst>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%"/>
    <numFmt numFmtId="166" formatCode="0"/>
    <numFmt numFmtId="167" formatCode="#,##0.0"/>
    <numFmt numFmtId="168" formatCode="0.00%"/>
    <numFmt numFmtId="169" formatCode="0%"/>
    <numFmt numFmtId="170" formatCode="#,##0.0;\(#,##0.0\);\-"/>
    <numFmt numFmtId="171" formatCode="0.0%;\(0.0%\);\-"/>
    <numFmt numFmtId="172" formatCode="#,##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Calibri"/>
      <family val="0"/>
      <charset val="1"/>
    </font>
    <font>
      <b val="true"/>
      <sz val="10"/>
      <color rgb="FF374151"/>
      <name val="Calibri"/>
      <family val="0"/>
      <charset val="1"/>
    </font>
    <font>
      <b val="true"/>
      <sz val="10"/>
      <color rgb="FF0F1F40"/>
      <name val="Calibri"/>
      <family val="0"/>
      <charset val="1"/>
    </font>
    <font>
      <sz val="10"/>
      <color rgb="FF374151"/>
      <name val="Calibri"/>
      <family val="0"/>
      <charset val="1"/>
    </font>
    <font>
      <sz val="10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2"/>
      <color rgb="FF0F1F40"/>
      <name val="Arial"/>
      <family val="0"/>
      <charset val="1"/>
    </font>
    <font>
      <sz val="11"/>
      <name val="Cambria"/>
      <family val="0"/>
      <charset val="1"/>
    </font>
    <font>
      <b val="true"/>
      <sz val="10"/>
      <color rgb="FF374151"/>
      <name val="Arial"/>
      <family val="0"/>
      <charset val="1"/>
    </font>
    <font>
      <b val="true"/>
      <sz val="10"/>
      <color rgb="FF0F1F40"/>
      <name val="Arial"/>
      <family val="0"/>
      <charset val="1"/>
    </font>
    <font>
      <b val="true"/>
      <sz val="11"/>
      <color rgb="FF37415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sz val="11"/>
      <color rgb="FF37415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0"/>
      <color rgb="FFA32D2D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3B6D1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8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5" fillId="3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2" fontId="5" fillId="6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5" fillId="6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E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1</xdr:col>
      <xdr:colOff>537120</xdr:colOff>
      <xdr:row>0</xdr:row>
      <xdr:rowOff>218880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eabaco.com/es/pillars/fpa/modules/2.4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F40"/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7" min="2" style="1" width="12"/>
    <col collapsed="false" customWidth="true" hidden="false" outlineLevel="0" max="8" min="8" style="1" width="50"/>
  </cols>
  <sheetData>
    <row r="1" customFormat="false" ht="21.75" hidden="false" customHeight="true" outlineLevel="0" collapsed="false"/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/>
    <row r="4" customFormat="false" ht="15" hidden="false" customHeight="true" outlineLevel="0" collapsed="false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customFormat="false" ht="21.75" hidden="false" customHeight="true" outlineLevel="0" collapsed="false"/>
    <row r="6" customFormat="false" ht="15" hidden="false" customHeight="true" outlineLevel="0" collapsed="false">
      <c r="A6" s="4" t="s">
        <v>9</v>
      </c>
      <c r="B6" s="4"/>
      <c r="C6" s="4"/>
      <c r="D6" s="4"/>
      <c r="E6" s="4"/>
      <c r="F6" s="4"/>
      <c r="G6" s="4"/>
      <c r="H6" s="4"/>
    </row>
    <row r="7" customFormat="false" ht="15" hidden="false" customHeight="true" outlineLevel="0" collapsed="false">
      <c r="A7" s="5" t="s">
        <v>10</v>
      </c>
      <c r="B7" s="5" t="s">
        <v>11</v>
      </c>
      <c r="C7" s="6" t="n">
        <v>0.03</v>
      </c>
      <c r="D7" s="6" t="n">
        <v>0.03</v>
      </c>
      <c r="E7" s="6" t="n">
        <v>0.02</v>
      </c>
      <c r="F7" s="6" t="n">
        <v>0.02</v>
      </c>
      <c r="G7" s="6" t="n">
        <v>0.02</v>
      </c>
      <c r="H7" s="7" t="s">
        <v>12</v>
      </c>
    </row>
    <row r="8" customFormat="false" ht="15" hidden="false" customHeight="true" outlineLevel="0" collapsed="false">
      <c r="A8" s="5" t="s">
        <v>13</v>
      </c>
      <c r="B8" s="5" t="s">
        <v>11</v>
      </c>
      <c r="C8" s="6" t="n">
        <v>0.05</v>
      </c>
      <c r="D8" s="6" t="n">
        <v>0.04</v>
      </c>
      <c r="E8" s="6" t="n">
        <v>0.03</v>
      </c>
      <c r="F8" s="6" t="n">
        <v>0.03</v>
      </c>
      <c r="G8" s="6" t="n">
        <v>0.03</v>
      </c>
      <c r="H8" s="7" t="s">
        <v>14</v>
      </c>
    </row>
    <row r="9" customFormat="false" ht="21.75" hidden="false" customHeight="true" outlineLevel="0" collapsed="false">
      <c r="A9" s="5" t="s">
        <v>15</v>
      </c>
      <c r="B9" s="5" t="s">
        <v>11</v>
      </c>
      <c r="C9" s="6" t="n">
        <v>0.02</v>
      </c>
      <c r="D9" s="6" t="n">
        <v>0.02</v>
      </c>
      <c r="E9" s="6" t="n">
        <v>0.01</v>
      </c>
      <c r="F9" s="6" t="n">
        <v>0</v>
      </c>
      <c r="G9" s="6" t="n">
        <v>0</v>
      </c>
      <c r="H9" s="7" t="s">
        <v>16</v>
      </c>
    </row>
    <row r="10" customFormat="false" ht="15" hidden="false" customHeight="true" outlineLevel="0" collapsed="false">
      <c r="A10" s="4" t="s">
        <v>17</v>
      </c>
      <c r="B10" s="4"/>
      <c r="C10" s="4"/>
      <c r="D10" s="4"/>
      <c r="E10" s="4"/>
      <c r="F10" s="4"/>
      <c r="G10" s="4"/>
      <c r="H10" s="4"/>
    </row>
    <row r="11" customFormat="false" ht="15" hidden="false" customHeight="true" outlineLevel="0" collapsed="false">
      <c r="A11" s="5" t="s">
        <v>18</v>
      </c>
      <c r="B11" s="6" t="n">
        <v>0.35</v>
      </c>
      <c r="C11" s="6" t="n">
        <v>0.36</v>
      </c>
      <c r="D11" s="6" t="n">
        <v>0.37</v>
      </c>
      <c r="E11" s="6" t="n">
        <v>0.37</v>
      </c>
      <c r="F11" s="6" t="n">
        <v>0.37</v>
      </c>
      <c r="G11" s="6" t="n">
        <v>0.37</v>
      </c>
      <c r="H11" s="7" t="s">
        <v>19</v>
      </c>
    </row>
    <row r="12" customFormat="false" ht="15" hidden="false" customHeight="true" outlineLevel="0" collapsed="false">
      <c r="A12" s="5" t="s">
        <v>20</v>
      </c>
      <c r="B12" s="6" t="n">
        <v>0.2</v>
      </c>
      <c r="C12" s="6" t="n">
        <v>0.2</v>
      </c>
      <c r="D12" s="6" t="n">
        <v>0.2</v>
      </c>
      <c r="E12" s="6" t="n">
        <v>0.19</v>
      </c>
      <c r="F12" s="6" t="n">
        <v>0.19</v>
      </c>
      <c r="G12" s="6" t="n">
        <v>0.19</v>
      </c>
      <c r="H12" s="7" t="s">
        <v>21</v>
      </c>
    </row>
    <row r="13" customFormat="false" ht="15" hidden="false" customHeight="true" outlineLevel="0" collapsed="false">
      <c r="A13" s="5" t="s">
        <v>22</v>
      </c>
      <c r="B13" s="6" t="n">
        <v>0.05</v>
      </c>
      <c r="C13" s="6" t="n">
        <v>0.05</v>
      </c>
      <c r="D13" s="6" t="n">
        <v>0.05</v>
      </c>
      <c r="E13" s="6" t="n">
        <v>0.05</v>
      </c>
      <c r="F13" s="6" t="n">
        <v>0.05</v>
      </c>
      <c r="G13" s="6" t="n">
        <v>0.05</v>
      </c>
      <c r="H13" s="7" t="s">
        <v>23</v>
      </c>
    </row>
    <row r="14" customFormat="false" ht="21.75" hidden="false" customHeight="true" outlineLevel="0" collapsed="false">
      <c r="A14" s="5" t="s">
        <v>24</v>
      </c>
      <c r="B14" s="6" t="n">
        <v>0.27</v>
      </c>
      <c r="C14" s="6" t="n">
        <v>0.27</v>
      </c>
      <c r="D14" s="6" t="n">
        <v>0.27</v>
      </c>
      <c r="E14" s="6" t="n">
        <v>0.27</v>
      </c>
      <c r="F14" s="6" t="n">
        <v>0.27</v>
      </c>
      <c r="G14" s="6" t="n">
        <v>0.27</v>
      </c>
      <c r="H14" s="7" t="s">
        <v>25</v>
      </c>
    </row>
    <row r="15" customFormat="false" ht="15" hidden="false" customHeight="true" outlineLevel="0" collapsed="false">
      <c r="A15" s="4" t="s">
        <v>26</v>
      </c>
      <c r="B15" s="4"/>
      <c r="C15" s="4"/>
      <c r="D15" s="4"/>
      <c r="E15" s="4"/>
      <c r="F15" s="4"/>
      <c r="G15" s="4"/>
      <c r="H15" s="4"/>
    </row>
    <row r="16" customFormat="false" ht="15" hidden="false" customHeight="true" outlineLevel="0" collapsed="false">
      <c r="A16" s="5" t="s">
        <v>27</v>
      </c>
      <c r="B16" s="8" t="n">
        <v>45</v>
      </c>
      <c r="C16" s="8" t="n">
        <v>45</v>
      </c>
      <c r="D16" s="8" t="n">
        <v>42</v>
      </c>
      <c r="E16" s="8" t="n">
        <v>42</v>
      </c>
      <c r="F16" s="8" t="n">
        <v>42</v>
      </c>
      <c r="G16" s="8" t="n">
        <v>42</v>
      </c>
      <c r="H16" s="7" t="s">
        <v>28</v>
      </c>
    </row>
    <row r="17" customFormat="false" ht="15" hidden="false" customHeight="true" outlineLevel="0" collapsed="false">
      <c r="A17" s="5" t="s">
        <v>29</v>
      </c>
      <c r="B17" s="8" t="n">
        <v>60</v>
      </c>
      <c r="C17" s="8" t="n">
        <v>58</v>
      </c>
      <c r="D17" s="8" t="n">
        <v>55</v>
      </c>
      <c r="E17" s="8" t="n">
        <v>52</v>
      </c>
      <c r="F17" s="8" t="n">
        <v>50</v>
      </c>
      <c r="G17" s="8" t="n">
        <v>50</v>
      </c>
      <c r="H17" s="7" t="s">
        <v>30</v>
      </c>
    </row>
    <row r="18" customFormat="false" ht="21.75" hidden="false" customHeight="true" outlineLevel="0" collapsed="false">
      <c r="A18" s="5" t="s">
        <v>31</v>
      </c>
      <c r="B18" s="8" t="n">
        <v>45</v>
      </c>
      <c r="C18" s="8" t="n">
        <v>45</v>
      </c>
      <c r="D18" s="8" t="n">
        <v>45</v>
      </c>
      <c r="E18" s="8" t="n">
        <v>45</v>
      </c>
      <c r="F18" s="8" t="n">
        <v>45</v>
      </c>
      <c r="G18" s="8" t="n">
        <v>45</v>
      </c>
      <c r="H18" s="7" t="s">
        <v>32</v>
      </c>
    </row>
    <row r="19" customFormat="false" ht="15" hidden="false" customHeight="true" outlineLevel="0" collapsed="false">
      <c r="A19" s="4" t="s">
        <v>33</v>
      </c>
      <c r="B19" s="4"/>
      <c r="C19" s="4"/>
      <c r="D19" s="4"/>
      <c r="E19" s="4"/>
      <c r="F19" s="4"/>
      <c r="G19" s="4"/>
      <c r="H19" s="4"/>
    </row>
    <row r="20" customFormat="false" ht="15" hidden="false" customHeight="true" outlineLevel="0" collapsed="false">
      <c r="A20" s="5" t="s">
        <v>34</v>
      </c>
      <c r="B20" s="6" t="n">
        <v>0.04</v>
      </c>
      <c r="C20" s="6" t="n">
        <v>0.04</v>
      </c>
      <c r="D20" s="6" t="n">
        <v>0.04</v>
      </c>
      <c r="E20" s="6" t="n">
        <v>0.04</v>
      </c>
      <c r="F20" s="6" t="n">
        <v>0.04</v>
      </c>
      <c r="G20" s="6" t="n">
        <v>0.04</v>
      </c>
      <c r="H20" s="7" t="s">
        <v>35</v>
      </c>
    </row>
    <row r="21" customFormat="false" ht="15" hidden="false" customHeight="true" outlineLevel="0" collapsed="false">
      <c r="A21" s="5" t="s">
        <v>36</v>
      </c>
      <c r="B21" s="9" t="n">
        <v>0</v>
      </c>
      <c r="C21" s="9" t="n">
        <v>4</v>
      </c>
      <c r="D21" s="9" t="n">
        <v>2</v>
      </c>
      <c r="E21" s="9" t="n">
        <v>1</v>
      </c>
      <c r="F21" s="9" t="n">
        <v>1</v>
      </c>
      <c r="G21" s="9" t="n">
        <v>1</v>
      </c>
      <c r="H21" s="7" t="s">
        <v>37</v>
      </c>
    </row>
    <row r="22" customFormat="false" ht="15" hidden="false" customHeight="true" outlineLevel="0" collapsed="false">
      <c r="A22" s="5" t="s">
        <v>38</v>
      </c>
      <c r="B22" s="9" t="n">
        <v>0</v>
      </c>
      <c r="C22" s="9" t="n">
        <v>5</v>
      </c>
      <c r="D22" s="9" t="n">
        <v>-2</v>
      </c>
      <c r="E22" s="9" t="n">
        <v>-3</v>
      </c>
      <c r="F22" s="9" t="n">
        <v>-3</v>
      </c>
      <c r="G22" s="9" t="n">
        <v>-3</v>
      </c>
      <c r="H22" s="7" t="s">
        <v>39</v>
      </c>
    </row>
    <row r="23" customFormat="false" ht="15" hidden="false" customHeight="true" outlineLevel="0" collapsed="false">
      <c r="A23" s="5" t="s">
        <v>40</v>
      </c>
      <c r="B23" s="10" t="n">
        <v>0.075</v>
      </c>
      <c r="C23" s="10" t="n">
        <v>0.075</v>
      </c>
      <c r="D23" s="10" t="n">
        <v>0.075</v>
      </c>
      <c r="E23" s="10" t="n">
        <v>0.07</v>
      </c>
      <c r="F23" s="10" t="n">
        <v>0.07</v>
      </c>
      <c r="G23" s="10" t="n">
        <v>0.07</v>
      </c>
      <c r="H23" s="7" t="s">
        <v>41</v>
      </c>
    </row>
    <row r="24" customFormat="false" ht="15" hidden="false" customHeight="true" outlineLevel="0" collapsed="false">
      <c r="A24" s="5" t="s">
        <v>42</v>
      </c>
      <c r="B24" s="11" t="n">
        <v>0.3</v>
      </c>
      <c r="C24" s="11" t="n">
        <v>0.3</v>
      </c>
      <c r="D24" s="11" t="n">
        <v>0.3</v>
      </c>
      <c r="E24" s="11" t="n">
        <v>0.4</v>
      </c>
      <c r="F24" s="11" t="n">
        <v>0.4</v>
      </c>
      <c r="G24" s="11" t="n">
        <v>0.5</v>
      </c>
      <c r="H24" s="7" t="s">
        <v>43</v>
      </c>
    </row>
    <row r="25" customFormat="false" ht="49.5" hidden="false" customHeight="true" outlineLevel="0" collapsed="false"/>
    <row r="26" customFormat="false" ht="18.75" hidden="false" customHeight="true" outlineLevel="0" collapsed="false">
      <c r="A26" s="12" t="s">
        <v>44</v>
      </c>
      <c r="B26" s="12"/>
      <c r="C26" s="12"/>
      <c r="D26" s="12"/>
      <c r="E26" s="12"/>
      <c r="F26" s="12"/>
      <c r="G26" s="12"/>
      <c r="H26" s="12"/>
    </row>
  </sheetData>
  <mergeCells count="6">
    <mergeCell ref="A2:H2"/>
    <mergeCell ref="A6:H6"/>
    <mergeCell ref="A10:H10"/>
    <mergeCell ref="A15:H15"/>
    <mergeCell ref="A19:H19"/>
    <mergeCell ref="A26:H26"/>
  </mergeCells>
  <hyperlinks>
    <hyperlink ref="A2" r:id="rId1" display="deabaco · Andina · Drivers — single source of truth · Módulo 2.4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  <col collapsed="false" customWidth="true" hidden="false" outlineLevel="0" max="7" min="2" style="1" width="11"/>
    <col collapsed="false" customWidth="true" hidden="false" outlineLevel="0" max="8" min="8" style="1" width="9"/>
    <col collapsed="false" customWidth="true" hidden="false" outlineLevel="0" max="9" min="9" style="1" width="38"/>
  </cols>
  <sheetData>
    <row r="1" customFormat="false" ht="21.75" hidden="false" customHeight="true" outlineLevel="0" collapsed="false"/>
    <row r="2" customFormat="false" ht="15" hidden="false" customHeight="true" outlineLevel="0" collapsed="false">
      <c r="A2" s="13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Format="false" ht="21.75" hidden="false" customHeight="true" outlineLevel="0" collapsed="false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customFormat="false" ht="15" hidden="false" customHeight="true" outlineLevel="0" collapsed="false">
      <c r="A4" s="15" t="s">
        <v>46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47</v>
      </c>
      <c r="I4" s="17" t="s">
        <v>48</v>
      </c>
      <c r="J4" s="14"/>
      <c r="K4" s="14"/>
    </row>
    <row r="5" customFormat="false" ht="15" hidden="false" customHeight="tru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customFormat="false" ht="15" hidden="false" customHeight="true" outlineLevel="0" collapsed="false">
      <c r="A6" s="18" t="s">
        <v>49</v>
      </c>
      <c r="B6" s="19" t="n">
        <v>200</v>
      </c>
      <c r="C6" s="20" t="n">
        <f aca="false">B6*(1+Drivers!C7+Drivers!C8+Drivers!C9)</f>
        <v>220</v>
      </c>
      <c r="D6" s="20" t="n">
        <f aca="false">C6*(1+Drivers!D7+Drivers!D8+Drivers!D9)</f>
        <v>239.8</v>
      </c>
      <c r="E6" s="20" t="n">
        <f aca="false">D6*(1+Drivers!E7+Drivers!E8+Drivers!E9)</f>
        <v>254.188</v>
      </c>
      <c r="F6" s="20" t="n">
        <f aca="false">E6*(1+Drivers!F7+Drivers!F8+Drivers!F9)</f>
        <v>266.8974</v>
      </c>
      <c r="G6" s="20" t="n">
        <f aca="false">F6*(1+Drivers!G7+Drivers!G8+Drivers!G9)</f>
        <v>280.24227</v>
      </c>
      <c r="H6" s="21" t="n">
        <f aca="false">IFERROR(IF(AND(B6&gt;0,G6&gt;0),(G6/B6)^(1/5)-1,"—"),"—")</f>
        <v>0.0697954077720739</v>
      </c>
      <c r="I6" s="22" t="s">
        <v>50</v>
      </c>
      <c r="J6" s="14"/>
      <c r="K6" s="14"/>
    </row>
    <row r="7" customFormat="false" ht="15" hidden="false" customHeight="true" outlineLevel="0" collapsed="false">
      <c r="A7" s="23" t="s">
        <v>51</v>
      </c>
      <c r="B7" s="24" t="n">
        <f aca="false">B6*(1-Drivers!B11)</f>
        <v>130</v>
      </c>
      <c r="C7" s="24" t="n">
        <f aca="false">C6*(1-Drivers!C11)</f>
        <v>140.8</v>
      </c>
      <c r="D7" s="24" t="n">
        <f aca="false">D6*(1-Drivers!D11)</f>
        <v>151.074</v>
      </c>
      <c r="E7" s="24" t="n">
        <f aca="false">E6*(1-Drivers!E11)</f>
        <v>160.13844</v>
      </c>
      <c r="F7" s="24" t="n">
        <f aca="false">F6*(1-Drivers!F11)</f>
        <v>168.145362</v>
      </c>
      <c r="G7" s="24" t="n">
        <f aca="false">G6*(1-Drivers!G11)</f>
        <v>176.5526301</v>
      </c>
      <c r="H7" s="25" t="n">
        <f aca="false">IFERROR(IF(AND(B7&gt;0,G7&gt;0),(G7/B7)^(1/5)-1,"—"),"—")</f>
        <v>0.0631294966379157</v>
      </c>
      <c r="I7" s="14"/>
      <c r="J7" s="14"/>
      <c r="K7" s="14"/>
    </row>
    <row r="8" customFormat="false" ht="15" hidden="false" customHeight="true" outlineLevel="0" collapsed="false">
      <c r="A8" s="18" t="s">
        <v>52</v>
      </c>
      <c r="B8" s="20" t="n">
        <f aca="false">B6-B7</f>
        <v>70</v>
      </c>
      <c r="C8" s="20" t="n">
        <f aca="false">C6-C7</f>
        <v>79.2</v>
      </c>
      <c r="D8" s="20" t="n">
        <f aca="false">D6-D7</f>
        <v>88.726</v>
      </c>
      <c r="E8" s="20" t="n">
        <f aca="false">E6-E7</f>
        <v>94.04956</v>
      </c>
      <c r="F8" s="20" t="n">
        <f aca="false">F6-F7</f>
        <v>98.752038</v>
      </c>
      <c r="G8" s="20" t="n">
        <f aca="false">G6-G7</f>
        <v>103.6896399</v>
      </c>
      <c r="H8" s="21" t="n">
        <f aca="false">IFERROR(IF(AND(B8&gt;0,G8&gt;0),(G8/B8)^(1/5)-1,"—"),"—")</f>
        <v>0.0817513982814992</v>
      </c>
      <c r="I8" s="14"/>
      <c r="J8" s="14"/>
      <c r="K8" s="14"/>
    </row>
    <row r="9" customFormat="false" ht="15" hidden="false" customHeight="true" outlineLevel="0" collapsed="false">
      <c r="A9" s="22" t="s">
        <v>53</v>
      </c>
      <c r="B9" s="26" t="n">
        <f aca="false">IFERROR(B8/B6,0)</f>
        <v>0.35</v>
      </c>
      <c r="C9" s="26" t="n">
        <f aca="false">IFERROR(C8/C6,0)</f>
        <v>0.36</v>
      </c>
      <c r="D9" s="26" t="n">
        <f aca="false">IFERROR(D8/D6,0)</f>
        <v>0.37</v>
      </c>
      <c r="E9" s="26" t="n">
        <f aca="false">IFERROR(E8/E6,0)</f>
        <v>0.37</v>
      </c>
      <c r="F9" s="26" t="n">
        <f aca="false">IFERROR(F8/F6,0)</f>
        <v>0.37</v>
      </c>
      <c r="G9" s="26" t="n">
        <f aca="false">IFERROR(G8/G6,0)</f>
        <v>0.37</v>
      </c>
      <c r="H9" s="27" t="s">
        <v>11</v>
      </c>
      <c r="I9" s="14"/>
      <c r="J9" s="14"/>
      <c r="K9" s="14"/>
    </row>
    <row r="10" customFormat="false" ht="15" hidden="false" customHeight="true" outlineLevel="0" collapsed="false">
      <c r="A10" s="23" t="s">
        <v>54</v>
      </c>
      <c r="B10" s="24" t="n">
        <f aca="false">B6*Drivers!B12</f>
        <v>40</v>
      </c>
      <c r="C10" s="24" t="n">
        <f aca="false">C6*Drivers!C12</f>
        <v>44</v>
      </c>
      <c r="D10" s="24" t="n">
        <f aca="false">D6*Drivers!D12</f>
        <v>47.96</v>
      </c>
      <c r="E10" s="24" t="n">
        <f aca="false">E6*Drivers!E12</f>
        <v>48.29572</v>
      </c>
      <c r="F10" s="24" t="n">
        <f aca="false">F6*Drivers!F12</f>
        <v>50.710506</v>
      </c>
      <c r="G10" s="24" t="n">
        <f aca="false">G6*Drivers!G12</f>
        <v>53.2460313</v>
      </c>
      <c r="H10" s="25" t="n">
        <f aca="false">IFERROR(IF(AND(B10&gt;0,G10&gt;0),(G10/B10)^(1/5)-1,"—"),"—")</f>
        <v>0.0588768422900949</v>
      </c>
      <c r="I10" s="14"/>
      <c r="J10" s="14"/>
      <c r="K10" s="14"/>
    </row>
    <row r="11" customFormat="false" ht="15" hidden="false" customHeight="true" outlineLevel="0" collapsed="false">
      <c r="A11" s="22" t="s">
        <v>55</v>
      </c>
      <c r="B11" s="26" t="n">
        <f aca="false">IFERROR(B10/B6,0)</f>
        <v>0.2</v>
      </c>
      <c r="C11" s="26" t="n">
        <f aca="false">IFERROR(C10/C6,0)</f>
        <v>0.2</v>
      </c>
      <c r="D11" s="26" t="n">
        <f aca="false">IFERROR(D10/D6,0)</f>
        <v>0.2</v>
      </c>
      <c r="E11" s="26" t="n">
        <f aca="false">IFERROR(E10/E6,0)</f>
        <v>0.19</v>
      </c>
      <c r="F11" s="26" t="n">
        <f aca="false">IFERROR(F10/F6,0)</f>
        <v>0.19</v>
      </c>
      <c r="G11" s="26" t="n">
        <f aca="false">IFERROR(G10/G6,0)</f>
        <v>0.19</v>
      </c>
      <c r="H11" s="27" t="s">
        <v>11</v>
      </c>
      <c r="I11" s="14"/>
      <c r="J11" s="14"/>
      <c r="K11" s="14"/>
    </row>
    <row r="12" customFormat="false" ht="15" hidden="false" customHeight="true" outlineLevel="0" collapsed="false">
      <c r="A12" s="18" t="s">
        <v>56</v>
      </c>
      <c r="B12" s="20" t="n">
        <f aca="false">B8-B10</f>
        <v>30</v>
      </c>
      <c r="C12" s="20" t="n">
        <f aca="false">C8-C10</f>
        <v>35.2</v>
      </c>
      <c r="D12" s="20" t="n">
        <f aca="false">D8-D10</f>
        <v>40.766</v>
      </c>
      <c r="E12" s="20" t="n">
        <f aca="false">E8-E10</f>
        <v>45.75384</v>
      </c>
      <c r="F12" s="20" t="n">
        <f aca="false">F8-F10</f>
        <v>48.041532</v>
      </c>
      <c r="G12" s="20" t="n">
        <f aca="false">G8-G10</f>
        <v>50.4436086</v>
      </c>
      <c r="H12" s="21" t="n">
        <f aca="false">IFERROR(IF(AND(B12&gt;0,G12&gt;0),(G12/B12)^(1/5)-1,"—"),"—")</f>
        <v>0.109524709361523</v>
      </c>
      <c r="I12" s="14"/>
      <c r="J12" s="14"/>
      <c r="K12" s="14"/>
    </row>
    <row r="13" customFormat="false" ht="15" hidden="false" customHeight="true" outlineLevel="0" collapsed="false">
      <c r="A13" s="22" t="s">
        <v>57</v>
      </c>
      <c r="B13" s="26" t="n">
        <f aca="false">IFERROR(B12/B6,0)</f>
        <v>0.15</v>
      </c>
      <c r="C13" s="26" t="n">
        <f aca="false">IFERROR(C12/C6,0)</f>
        <v>0.16</v>
      </c>
      <c r="D13" s="26" t="n">
        <f aca="false">IFERROR(D12/D6,0)</f>
        <v>0.17</v>
      </c>
      <c r="E13" s="26" t="n">
        <f aca="false">IFERROR(E12/E6,0)</f>
        <v>0.18</v>
      </c>
      <c r="F13" s="26" t="n">
        <f aca="false">IFERROR(F12/F6,0)</f>
        <v>0.18</v>
      </c>
      <c r="G13" s="26" t="n">
        <f aca="false">IFERROR(G12/G6,0)</f>
        <v>0.18</v>
      </c>
      <c r="H13" s="27" t="s">
        <v>11</v>
      </c>
      <c r="I13" s="14"/>
      <c r="J13" s="14"/>
      <c r="K13" s="14"/>
    </row>
    <row r="14" customFormat="false" ht="15" hidden="false" customHeight="true" outlineLevel="0" collapsed="false">
      <c r="A14" s="23" t="s">
        <v>58</v>
      </c>
      <c r="B14" s="24" t="n">
        <f aca="false">B6*Drivers!B13</f>
        <v>10</v>
      </c>
      <c r="C14" s="24" t="n">
        <f aca="false">C6*Drivers!C13</f>
        <v>11</v>
      </c>
      <c r="D14" s="24" t="n">
        <f aca="false">D6*Drivers!D13</f>
        <v>11.99</v>
      </c>
      <c r="E14" s="24" t="n">
        <f aca="false">E6*Drivers!E13</f>
        <v>12.7094</v>
      </c>
      <c r="F14" s="24" t="n">
        <f aca="false">F6*Drivers!F13</f>
        <v>13.34487</v>
      </c>
      <c r="G14" s="24" t="n">
        <f aca="false">G6*Drivers!G13</f>
        <v>14.0121135</v>
      </c>
      <c r="H14" s="25" t="n">
        <f aca="false">IFERROR(IF(AND(B14&gt;0,G14&gt;0),(G14/B14)^(1/5)-1,"—"),"—")</f>
        <v>0.0697954077720739</v>
      </c>
      <c r="I14" s="14"/>
      <c r="J14" s="14"/>
      <c r="K14" s="14"/>
    </row>
    <row r="15" customFormat="false" ht="15" hidden="false" customHeight="true" outlineLevel="0" collapsed="false">
      <c r="A15" s="18" t="s">
        <v>59</v>
      </c>
      <c r="B15" s="20" t="n">
        <f aca="false">B12-B14</f>
        <v>20</v>
      </c>
      <c r="C15" s="20" t="n">
        <f aca="false">C12-C14</f>
        <v>24.2</v>
      </c>
      <c r="D15" s="20" t="n">
        <f aca="false">D12-D14</f>
        <v>28.776</v>
      </c>
      <c r="E15" s="20" t="n">
        <f aca="false">E12-E14</f>
        <v>33.04444</v>
      </c>
      <c r="F15" s="20" t="n">
        <f aca="false">F12-F14</f>
        <v>34.696662</v>
      </c>
      <c r="G15" s="20" t="n">
        <f aca="false">G12-G14</f>
        <v>36.4314951</v>
      </c>
      <c r="H15" s="21" t="n">
        <f aca="false">IFERROR(IF(AND(B15&gt;0,G15&gt;0),(G15/B15)^(1/5)-1,"—"),"—")</f>
        <v>0.127429514286303</v>
      </c>
      <c r="I15" s="14"/>
      <c r="J15" s="14"/>
      <c r="K15" s="14"/>
    </row>
    <row r="16" customFormat="false" ht="15" hidden="false" customHeight="true" outlineLevel="0" collapsed="false">
      <c r="A16" s="22" t="s">
        <v>60</v>
      </c>
      <c r="B16" s="26" t="n">
        <f aca="false">IFERROR(B15/B6,0)</f>
        <v>0.1</v>
      </c>
      <c r="C16" s="26" t="n">
        <f aca="false">IFERROR(C15/C6,0)</f>
        <v>0.11</v>
      </c>
      <c r="D16" s="26" t="n">
        <f aca="false">IFERROR(D15/D6,0)</f>
        <v>0.12</v>
      </c>
      <c r="E16" s="26" t="n">
        <f aca="false">IFERROR(E15/E6,0)</f>
        <v>0.13</v>
      </c>
      <c r="F16" s="26" t="n">
        <f aca="false">IFERROR(F15/F6,0)</f>
        <v>0.13</v>
      </c>
      <c r="G16" s="26" t="n">
        <f aca="false">IFERROR(G15/G6,0)</f>
        <v>0.13</v>
      </c>
      <c r="H16" s="27" t="s">
        <v>11</v>
      </c>
      <c r="I16" s="14"/>
      <c r="J16" s="14"/>
      <c r="K16" s="14"/>
    </row>
    <row r="17" customFormat="false" ht="21.75" hidden="false" customHeight="true" outlineLevel="0" collapsed="false">
      <c r="A17" s="23" t="s">
        <v>61</v>
      </c>
      <c r="B17" s="28" t="n">
        <v>4.4</v>
      </c>
      <c r="C17" s="24" t="n">
        <f aca="false">'Balance General'!B13*Drivers!C23</f>
        <v>6</v>
      </c>
      <c r="D17" s="24" t="n">
        <f aca="false">'Balance General'!C13*Drivers!D23</f>
        <v>6.375</v>
      </c>
      <c r="E17" s="24" t="n">
        <f aca="false">'Balance General'!D13*Drivers!E23</f>
        <v>5.81</v>
      </c>
      <c r="F17" s="24" t="n">
        <f aca="false">'Balance General'!E13*Drivers!F23</f>
        <v>5.6</v>
      </c>
      <c r="G17" s="24" t="n">
        <f aca="false">'Balance General'!F13*Drivers!G23</f>
        <v>5.39</v>
      </c>
      <c r="H17" s="25" t="n">
        <f aca="false">IFERROR(IF(AND(B17&gt;0,G17&gt;0),(G17/B17)^(1/5)-1,"—"),"—")</f>
        <v>0.041423126681444</v>
      </c>
      <c r="I17" s="22" t="s">
        <v>62</v>
      </c>
      <c r="J17" s="14"/>
      <c r="K17" s="14"/>
    </row>
    <row r="18" customFormat="false" ht="15" hidden="false" customHeight="true" outlineLevel="0" collapsed="false">
      <c r="A18" s="23" t="s">
        <v>63</v>
      </c>
      <c r="B18" s="24" t="n">
        <f aca="false">B15-B17</f>
        <v>15.6</v>
      </c>
      <c r="C18" s="24" t="n">
        <f aca="false">C15-C17</f>
        <v>18.2</v>
      </c>
      <c r="D18" s="24" t="n">
        <f aca="false">D15-D17</f>
        <v>22.401</v>
      </c>
      <c r="E18" s="24" t="n">
        <f aca="false">E15-E17</f>
        <v>27.23444</v>
      </c>
      <c r="F18" s="24" t="n">
        <f aca="false">F15-F17</f>
        <v>29.096662</v>
      </c>
      <c r="G18" s="24" t="n">
        <f aca="false">G15-G17</f>
        <v>31.0414951</v>
      </c>
      <c r="H18" s="25" t="n">
        <f aca="false">IFERROR(IF(AND(B18&gt;0,G18&gt;0),(G18/B18)^(1/5)-1,"—"),"—")</f>
        <v>0.147528832910402</v>
      </c>
      <c r="I18" s="14"/>
      <c r="J18" s="14"/>
      <c r="K18" s="14"/>
    </row>
    <row r="19" customFormat="false" ht="15" hidden="false" customHeight="true" outlineLevel="0" collapsed="false">
      <c r="A19" s="23" t="s">
        <v>64</v>
      </c>
      <c r="B19" s="24" t="n">
        <f aca="false">IF(B18&gt;0,B18*Drivers!B14,0)</f>
        <v>4.212</v>
      </c>
      <c r="C19" s="24" t="n">
        <f aca="false">IF(C18&gt;0,C18*Drivers!C14,0)</f>
        <v>4.914</v>
      </c>
      <c r="D19" s="24" t="n">
        <f aca="false">IF(D18&gt;0,D18*Drivers!D14,0)</f>
        <v>6.04827000000001</v>
      </c>
      <c r="E19" s="24" t="n">
        <f aca="false">IF(E18&gt;0,E18*Drivers!E14,0)</f>
        <v>7.3532988</v>
      </c>
      <c r="F19" s="24" t="n">
        <f aca="false">IF(F18&gt;0,F18*Drivers!F14,0)</f>
        <v>7.85609874000001</v>
      </c>
      <c r="G19" s="24" t="n">
        <f aca="false">IF(G18&gt;0,G18*Drivers!G14,0)</f>
        <v>8.381203677</v>
      </c>
      <c r="H19" s="25" t="n">
        <f aca="false">IFERROR(IF(AND(B19&gt;0,G19&gt;0),(G19/B19)^(1/5)-1,"—"),"—")</f>
        <v>0.147528832910402</v>
      </c>
      <c r="I19" s="14"/>
      <c r="J19" s="14"/>
      <c r="K19" s="14"/>
    </row>
    <row r="20" customFormat="false" ht="15" hidden="false" customHeight="true" outlineLevel="0" collapsed="false">
      <c r="A20" s="18" t="s">
        <v>65</v>
      </c>
      <c r="B20" s="20" t="n">
        <f aca="false">B18-B19</f>
        <v>11.388</v>
      </c>
      <c r="C20" s="20" t="n">
        <f aca="false">C18-C19</f>
        <v>13.286</v>
      </c>
      <c r="D20" s="20" t="n">
        <f aca="false">D18-D19</f>
        <v>16.35273</v>
      </c>
      <c r="E20" s="20" t="n">
        <f aca="false">E18-E19</f>
        <v>19.8811412</v>
      </c>
      <c r="F20" s="20" t="n">
        <f aca="false">F18-F19</f>
        <v>21.24056326</v>
      </c>
      <c r="G20" s="20" t="n">
        <f aca="false">G18-G19</f>
        <v>22.660291423</v>
      </c>
      <c r="H20" s="21" t="n">
        <f aca="false">IFERROR(IF(AND(B20&gt;0,G20&gt;0),(G20/B20)^(1/5)-1,"—"),"—")</f>
        <v>0.147528832910402</v>
      </c>
      <c r="I20" s="14"/>
      <c r="J20" s="14"/>
      <c r="K20" s="14"/>
    </row>
    <row r="21" customFormat="false" ht="15" hidden="false" customHeight="true" outlineLevel="0" collapsed="false">
      <c r="A21" s="22" t="s">
        <v>66</v>
      </c>
      <c r="B21" s="26" t="n">
        <f aca="false">IFERROR(B20/B6,0)</f>
        <v>0.05694</v>
      </c>
      <c r="C21" s="26" t="n">
        <f aca="false">IFERROR(C20/C6,0)</f>
        <v>0.0603909090909091</v>
      </c>
      <c r="D21" s="26" t="n">
        <f aca="false">IFERROR(D20/D6,0)</f>
        <v>0.0681932026688908</v>
      </c>
      <c r="E21" s="26" t="n">
        <f aca="false">IFERROR(E20/E6,0)</f>
        <v>0.0782143185358868</v>
      </c>
      <c r="F21" s="26" t="n">
        <f aca="false">IFERROR(F20/F6,0)</f>
        <v>0.0795832528155014</v>
      </c>
      <c r="G21" s="26" t="n">
        <f aca="false">IFERROR(G20/G6,0)</f>
        <v>0.0808596484142096</v>
      </c>
      <c r="H21" s="27" t="s">
        <v>11</v>
      </c>
      <c r="I21" s="14"/>
      <c r="J21" s="14"/>
      <c r="K21" s="14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Format="false" ht="15" hidden="false" customHeight="true" outlineLevel="0" collapsed="false">
      <c r="A23" s="29" t="s">
        <v>67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customFormat="false" ht="15" hidden="false" customHeight="true" outlineLevel="0" collapsed="false">
      <c r="A24" s="30" t="s">
        <v>68</v>
      </c>
      <c r="B24" s="31" t="str">
        <f aca="false">IF(ABS(B8-(B6-B7))&lt;0.01,"✓",TEXT(B8-(B6-B7),"0.00"))</f>
        <v>✓</v>
      </c>
      <c r="C24" s="31" t="str">
        <f aca="false">IF(ABS(C8-(C6-C7))&lt;0.01,"✓",TEXT(C8-(C6-C7),"0.00"))</f>
        <v>✓</v>
      </c>
      <c r="D24" s="31" t="str">
        <f aca="false">IF(ABS(D8-(D6-D7))&lt;0.01,"✓",TEXT(D8-(D6-D7),"0.00"))</f>
        <v>✓</v>
      </c>
      <c r="E24" s="31" t="str">
        <f aca="false">IF(ABS(E8-(E6-E7))&lt;0.01,"✓",TEXT(E8-(E6-E7),"0.00"))</f>
        <v>✓</v>
      </c>
      <c r="F24" s="31" t="str">
        <f aca="false">IF(ABS(F8-(F6-F7))&lt;0.01,"✓",TEXT(F8-(F6-F7),"0.00"))</f>
        <v>✓</v>
      </c>
      <c r="G24" s="31" t="str">
        <f aca="false">IF(ABS(G8-(G6-G7))&lt;0.01,"✓",TEXT(G8-(G6-G7),"0.00"))</f>
        <v>✓</v>
      </c>
      <c r="H24" s="14"/>
      <c r="I24" s="14"/>
      <c r="J24" s="14"/>
      <c r="K24" s="14"/>
    </row>
    <row r="25" customFormat="false" ht="15" hidden="false" customHeight="true" outlineLevel="0" collapsed="false">
      <c r="A25" s="30" t="s">
        <v>69</v>
      </c>
      <c r="B25" s="31" t="str">
        <f aca="false">IF(ABS(B12-(B8-B10))&lt;0.01,"✓",TEXT(B12-(B8-B10),"0.00"))</f>
        <v>✓</v>
      </c>
      <c r="C25" s="31" t="str">
        <f aca="false">IF(ABS(C12-(C8-C10))&lt;0.01,"✓",TEXT(C12-(C8-C10),"0.00"))</f>
        <v>✓</v>
      </c>
      <c r="D25" s="31" t="str">
        <f aca="false">IF(ABS(D12-(D8-D10))&lt;0.01,"✓",TEXT(D12-(D8-D10),"0.00"))</f>
        <v>✓</v>
      </c>
      <c r="E25" s="31" t="str">
        <f aca="false">IF(ABS(E12-(E8-E10))&lt;0.01,"✓",TEXT(E12-(E8-E10),"0.00"))</f>
        <v>✓</v>
      </c>
      <c r="F25" s="31" t="str">
        <f aca="false">IF(ABS(F12-(F8-F10))&lt;0.01,"✓",TEXT(F12-(F8-F10),"0.00"))</f>
        <v>✓</v>
      </c>
      <c r="G25" s="31" t="str">
        <f aca="false">IF(ABS(G12-(G8-G10))&lt;0.01,"✓",TEXT(G12-(G8-G10),"0.00"))</f>
        <v>✓</v>
      </c>
      <c r="H25" s="14"/>
      <c r="I25" s="14"/>
      <c r="J25" s="14"/>
      <c r="K25" s="14"/>
    </row>
    <row r="26" customFormat="false" ht="15" hidden="false" customHeight="true" outlineLevel="0" collapsed="false">
      <c r="A26" s="30" t="s">
        <v>70</v>
      </c>
      <c r="B26" s="31" t="str">
        <f aca="false">IF(ABS(B15-(B12-B14))&lt;0.01,"✓",TEXT(B15-(B12-B14),"0.00"))</f>
        <v>✓</v>
      </c>
      <c r="C26" s="31" t="str">
        <f aca="false">IF(ABS(C15-(C12-C14))&lt;0.01,"✓",TEXT(C15-(C12-C14),"0.00"))</f>
        <v>✓</v>
      </c>
      <c r="D26" s="31" t="str">
        <f aca="false">IF(ABS(D15-(D12-D14))&lt;0.01,"✓",TEXT(D15-(D12-D14),"0.00"))</f>
        <v>✓</v>
      </c>
      <c r="E26" s="31" t="str">
        <f aca="false">IF(ABS(E15-(E12-E14))&lt;0.01,"✓",TEXT(E15-(E12-E14),"0.00"))</f>
        <v>✓</v>
      </c>
      <c r="F26" s="31" t="str">
        <f aca="false">IF(ABS(F15-(F12-F14))&lt;0.01,"✓",TEXT(F15-(F12-F14),"0.00"))</f>
        <v>✓</v>
      </c>
      <c r="G26" s="31" t="str">
        <f aca="false">IF(ABS(G15-(G12-G14))&lt;0.01,"✓",TEXT(G15-(G12-G14),"0.00"))</f>
        <v>✓</v>
      </c>
      <c r="H26" s="14"/>
      <c r="I26" s="14"/>
      <c r="J26" s="14"/>
      <c r="K26" s="14"/>
    </row>
    <row r="27" customFormat="false" ht="15" hidden="false" customHeight="true" outlineLevel="0" collapsed="false">
      <c r="A27" s="30" t="s">
        <v>71</v>
      </c>
      <c r="B27" s="31" t="str">
        <f aca="false">IF(ABS(B20-(B15-B17-B19))&lt;0.01,"✓",TEXT(B20-(B15-B17-B19),"0.00"))</f>
        <v>✓</v>
      </c>
      <c r="C27" s="31" t="str">
        <f aca="false">IF(ABS(C20-(C15-C17-C19))&lt;0.01,"✓",TEXT(C20-(C15-C17-C19),"0.00"))</f>
        <v>✓</v>
      </c>
      <c r="D27" s="31" t="str">
        <f aca="false">IF(ABS(D20-(D15-D17-D19))&lt;0.01,"✓",TEXT(D20-(D15-D17-D19),"0.00"))</f>
        <v>✓</v>
      </c>
      <c r="E27" s="31" t="str">
        <f aca="false">IF(ABS(E20-(E15-E17-E19))&lt;0.01,"✓",TEXT(E20-(E15-E17-E19),"0.00"))</f>
        <v>✓</v>
      </c>
      <c r="F27" s="31" t="str">
        <f aca="false">IF(ABS(F20-(F15-F17-F19))&lt;0.01,"✓",TEXT(F20-(F15-F17-F19),"0.00"))</f>
        <v>✓</v>
      </c>
      <c r="G27" s="31" t="str">
        <f aca="false">IF(ABS(G20-(G15-G17-G19))&lt;0.01,"✓",TEXT(G20-(G15-G17-G19),"0.00"))</f>
        <v>✓</v>
      </c>
      <c r="H27" s="14"/>
      <c r="I27" s="14"/>
      <c r="J27" s="14"/>
      <c r="K27" s="14"/>
    </row>
    <row r="28" customFormat="false" ht="15" hidden="false" customHeight="true" outlineLevel="0" collapsed="false">
      <c r="A28" s="30" t="s">
        <v>72</v>
      </c>
      <c r="B28" s="31" t="str">
        <f aca="false">IF(ABS(B9*B6-B8)&lt;0.01,"✓",TEXT(B9*B6-B8,"0.00"))</f>
        <v>✓</v>
      </c>
      <c r="C28" s="31" t="str">
        <f aca="false">IF(ABS(C9*C6-C8)&lt;0.01,"✓",TEXT(C9*C6-C8,"0.00"))</f>
        <v>✓</v>
      </c>
      <c r="D28" s="31" t="str">
        <f aca="false">IF(ABS(D9*D6-D8)&lt;0.01,"✓",TEXT(D9*D6-D8,"0.00"))</f>
        <v>✓</v>
      </c>
      <c r="E28" s="31" t="str">
        <f aca="false">IF(ABS(E9*E6-E8)&lt;0.01,"✓",TEXT(E9*E6-E8,"0.00"))</f>
        <v>✓</v>
      </c>
      <c r="F28" s="31" t="str">
        <f aca="false">IF(ABS(F9*F6-F8)&lt;0.01,"✓",TEXT(F9*F6-F8,"0.00"))</f>
        <v>✓</v>
      </c>
      <c r="G28" s="31" t="str">
        <f aca="false">IF(ABS(G9*G6-G8)&lt;0.01,"✓",TEXT(G9*G6-G8,"0.00"))</f>
        <v>✓</v>
      </c>
      <c r="H28" s="14"/>
      <c r="I28" s="14"/>
      <c r="J28" s="14"/>
      <c r="K28" s="14"/>
    </row>
    <row r="29" customFormat="false" ht="15" hidden="false" customHeight="true" outlineLevel="0" collapsed="false">
      <c r="A29" s="30" t="s">
        <v>73</v>
      </c>
      <c r="B29" s="31" t="str">
        <f aca="false">IF(B18&lt;=0,"n/a",IF(ABS(B19/B18-0.27)&lt;=0.005,"✓",TEXT(B19/B18-0.27,"0.0%")))</f>
        <v>✓</v>
      </c>
      <c r="C29" s="31" t="str">
        <f aca="false">IF(C18&lt;=0,"n/a",IF(ABS(C19/C18-0.27)&lt;=0.005,"✓",TEXT(C19/C18-0.27,"0.0%")))</f>
        <v>✓</v>
      </c>
      <c r="D29" s="31" t="str">
        <f aca="false">IF(D18&lt;=0,"n/a",IF(ABS(D19/D18-0.27)&lt;=0.005,"✓",TEXT(D19/D18-0.27,"0.0%")))</f>
        <v>✓</v>
      </c>
      <c r="E29" s="31" t="str">
        <f aca="false">IF(E18&lt;=0,"n/a",IF(ABS(E19/E18-0.27)&lt;=0.005,"✓",TEXT(E19/E18-0.27,"0.0%")))</f>
        <v>✓</v>
      </c>
      <c r="F29" s="31" t="str">
        <f aca="false">IF(F18&lt;=0,"n/a",IF(ABS(F19/F18-0.27)&lt;=0.005,"✓",TEXT(F19/F18-0.27,"0.0%")))</f>
        <v>✓</v>
      </c>
      <c r="G29" s="31" t="str">
        <f aca="false">IF(G18&lt;=0,"n/a",IF(ABS(G19/G18-0.27)&lt;=0.005,"✓",TEXT(G19/G18-0.27,"0.0%")))</f>
        <v>✓</v>
      </c>
      <c r="H29" s="14"/>
      <c r="I29" s="14"/>
      <c r="J29" s="14"/>
      <c r="K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0B981"/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7" min="2" style="1" width="13"/>
    <col collapsed="false" customWidth="true" hidden="false" outlineLevel="0" max="8" min="8" style="1" width="40"/>
  </cols>
  <sheetData>
    <row r="1" customFormat="false" ht="21.75" hidden="false" customHeight="true" outlineLevel="0" collapsed="false"/>
    <row r="2" customFormat="false" ht="15" hidden="false" customHeight="true" outlineLevel="0" collapsed="false">
      <c r="A2" s="2" t="s">
        <v>74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/>
    <row r="4" customFormat="false" ht="21.75" hidden="false" customHeight="true" outlineLevel="0" collapsed="false">
      <c r="A4" s="3" t="s">
        <v>75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76</v>
      </c>
    </row>
    <row r="5" customFormat="false" ht="15" hidden="false" customHeight="true" outlineLevel="0" collapsed="false">
      <c r="A5" s="4" t="s">
        <v>77</v>
      </c>
      <c r="B5" s="4"/>
      <c r="C5" s="4"/>
      <c r="D5" s="4"/>
      <c r="E5" s="4"/>
      <c r="F5" s="4"/>
      <c r="G5" s="4"/>
      <c r="H5" s="4"/>
    </row>
    <row r="6" customFormat="false" ht="15" hidden="false" customHeight="true" outlineLevel="0" collapsed="false">
      <c r="A6" s="3" t="s">
        <v>78</v>
      </c>
      <c r="B6" s="9" t="n">
        <v>11</v>
      </c>
      <c r="C6" s="32" t="n">
        <f aca="false">B6+'Estado de Flujos'!C20</f>
        <v>21.3621178082192</v>
      </c>
      <c r="D6" s="32" t="n">
        <f aca="false">C6+'Estado de Flujos'!D20</f>
        <v>31.6126726438356</v>
      </c>
      <c r="E6" s="32" t="n">
        <f aca="false">D6+'Estado de Flujos'!E20</f>
        <v>41.4954974186301</v>
      </c>
      <c r="F6" s="32" t="n">
        <f aca="false">E6+'Estado de Flujos'!F20</f>
        <v>52.2141449088767</v>
      </c>
      <c r="G6" s="32" t="n">
        <f aca="false">F6+'Estado de Flujos'!G20</f>
        <v>60.6959711820206</v>
      </c>
      <c r="H6" s="7" t="s">
        <v>79</v>
      </c>
    </row>
    <row r="7" customFormat="false" ht="15" hidden="false" customHeight="true" outlineLevel="0" collapsed="false">
      <c r="A7" s="5" t="s">
        <v>80</v>
      </c>
      <c r="B7" s="32" t="n">
        <f aca="false">'P&amp;L 5 años'!B6*Drivers!B16/365</f>
        <v>24.6575342465753</v>
      </c>
      <c r="C7" s="32" t="n">
        <f aca="false">'P&amp;L 5 años'!C6*Drivers!C16/365</f>
        <v>27.1232876712329</v>
      </c>
      <c r="D7" s="32" t="n">
        <f aca="false">'P&amp;L 5 años'!D6*Drivers!D16/365</f>
        <v>27.5934246575343</v>
      </c>
      <c r="E7" s="32" t="n">
        <f aca="false">'P&amp;L 5 años'!E6*Drivers!E16/365</f>
        <v>29.2490301369863</v>
      </c>
      <c r="F7" s="32" t="n">
        <f aca="false">'P&amp;L 5 años'!F6*Drivers!F16/365</f>
        <v>30.7114816438356</v>
      </c>
      <c r="G7" s="32" t="n">
        <f aca="false">'P&amp;L 5 años'!G6*Drivers!G16/365</f>
        <v>32.2470557260274</v>
      </c>
    </row>
    <row r="8" customFormat="false" ht="15" hidden="false" customHeight="true" outlineLevel="0" collapsed="false">
      <c r="A8" s="5" t="s">
        <v>81</v>
      </c>
      <c r="B8" s="32" t="n">
        <f aca="false">'P&amp;L 5 años'!B7*Drivers!B17/365</f>
        <v>21.3698630136986</v>
      </c>
      <c r="C8" s="32" t="n">
        <f aca="false">'P&amp;L 5 años'!C7*Drivers!C17/365</f>
        <v>22.373698630137</v>
      </c>
      <c r="D8" s="32" t="n">
        <f aca="false">'P&amp;L 5 años'!D7*Drivers!D17/365</f>
        <v>22.7645753424658</v>
      </c>
      <c r="E8" s="32" t="n">
        <f aca="false">'P&amp;L 5 años'!E7*Drivers!E17/365</f>
        <v>22.8142435068493</v>
      </c>
      <c r="F8" s="32" t="n">
        <f aca="false">'P&amp;L 5 años'!F7*Drivers!F17/365</f>
        <v>23.0336112328767</v>
      </c>
      <c r="G8" s="32" t="n">
        <f aca="false">'P&amp;L 5 años'!G7*Drivers!G17/365</f>
        <v>24.1852917945206</v>
      </c>
    </row>
    <row r="9" customFormat="false" ht="15" hidden="false" customHeight="true" outlineLevel="0" collapsed="false">
      <c r="A9" s="5" t="s">
        <v>82</v>
      </c>
      <c r="B9" s="9" t="n">
        <v>86</v>
      </c>
      <c r="C9" s="32" t="n">
        <f aca="false">B9+'P&amp;L 5 años'!C6*Drivers!C20+Drivers!C21-'P&amp;L 5 años'!C14</f>
        <v>87.8</v>
      </c>
      <c r="D9" s="32" t="n">
        <f aca="false">C9+'P&amp;L 5 años'!D6*Drivers!D20+Drivers!D21-'P&amp;L 5 años'!D14</f>
        <v>87.402</v>
      </c>
      <c r="E9" s="32" t="n">
        <f aca="false">D9+'P&amp;L 5 años'!E6*Drivers!E20+Drivers!E21-'P&amp;L 5 años'!E14</f>
        <v>85.86012</v>
      </c>
      <c r="F9" s="32" t="n">
        <f aca="false">E9+'P&amp;L 5 años'!F6*Drivers!F20+Drivers!F21-'P&amp;L 5 años'!F14</f>
        <v>84.191146</v>
      </c>
      <c r="G9" s="32" t="n">
        <f aca="false">F9+'P&amp;L 5 años'!G6*Drivers!G20+Drivers!G21-'P&amp;L 5 años'!G14</f>
        <v>82.3887233</v>
      </c>
      <c r="H9" s="7" t="s">
        <v>83</v>
      </c>
    </row>
    <row r="10" customFormat="false" ht="21.75" hidden="false" customHeight="true" outlineLevel="0" collapsed="false">
      <c r="A10" s="3" t="s">
        <v>84</v>
      </c>
      <c r="B10" s="33" t="n">
        <f aca="false">SUM(B6:B9)</f>
        <v>143.027397260274</v>
      </c>
      <c r="C10" s="33" t="n">
        <f aca="false">SUM(C6:C9)</f>
        <v>158.659104109589</v>
      </c>
      <c r="D10" s="33" t="n">
        <f aca="false">SUM(D6:D9)</f>
        <v>169.372672643836</v>
      </c>
      <c r="E10" s="33" t="n">
        <f aca="false">SUM(E6:E9)</f>
        <v>179.418891062466</v>
      </c>
      <c r="F10" s="33" t="n">
        <f aca="false">SUM(F6:F9)</f>
        <v>190.150383785589</v>
      </c>
      <c r="G10" s="33" t="n">
        <f aca="false">SUM(G6:G9)</f>
        <v>199.517042002569</v>
      </c>
    </row>
    <row r="11" customFormat="false" ht="15" hidden="false" customHeight="true" outlineLevel="0" collapsed="false">
      <c r="A11" s="4" t="s">
        <v>85</v>
      </c>
      <c r="B11" s="4"/>
      <c r="C11" s="4"/>
      <c r="D11" s="4"/>
      <c r="E11" s="4"/>
      <c r="F11" s="4"/>
      <c r="G11" s="4"/>
      <c r="H11" s="4"/>
    </row>
    <row r="12" customFormat="false" ht="15" hidden="false" customHeight="true" outlineLevel="0" collapsed="false">
      <c r="A12" s="5" t="s">
        <v>86</v>
      </c>
      <c r="B12" s="32" t="n">
        <f aca="false">'P&amp;L 5 años'!B7*Drivers!B18/365</f>
        <v>16.027397260274</v>
      </c>
      <c r="C12" s="32" t="n">
        <f aca="false">'P&amp;L 5 años'!C7*Drivers!C18/365</f>
        <v>17.358904109589</v>
      </c>
      <c r="D12" s="32" t="n">
        <f aca="false">'P&amp;L 5 años'!D7*Drivers!D18/365</f>
        <v>18.6255616438356</v>
      </c>
      <c r="E12" s="32" t="n">
        <f aca="false">'P&amp;L 5 años'!E7*Drivers!E18/365</f>
        <v>19.7430953424658</v>
      </c>
      <c r="F12" s="32" t="n">
        <f aca="false">'P&amp;L 5 años'!F7*Drivers!F18/365</f>
        <v>20.730250109589</v>
      </c>
      <c r="G12" s="32" t="n">
        <f aca="false">'P&amp;L 5 años'!G7*Drivers!G18/365</f>
        <v>21.7667626150685</v>
      </c>
    </row>
    <row r="13" customFormat="false" ht="15" hidden="false" customHeight="true" outlineLevel="0" collapsed="false">
      <c r="A13" s="5" t="s">
        <v>87</v>
      </c>
      <c r="B13" s="9" t="n">
        <v>80</v>
      </c>
      <c r="C13" s="32" t="n">
        <f aca="false">B13+Drivers!C22</f>
        <v>85</v>
      </c>
      <c r="D13" s="32" t="n">
        <f aca="false">C13+Drivers!D22</f>
        <v>83</v>
      </c>
      <c r="E13" s="32" t="n">
        <f aca="false">D13+Drivers!E22</f>
        <v>80</v>
      </c>
      <c r="F13" s="32" t="n">
        <f aca="false">E13+Drivers!F22</f>
        <v>77</v>
      </c>
      <c r="G13" s="32" t="n">
        <f aca="false">F13+Drivers!G22</f>
        <v>74</v>
      </c>
    </row>
    <row r="14" customFormat="false" ht="21.75" hidden="false" customHeight="true" outlineLevel="0" collapsed="false">
      <c r="A14" s="3" t="s">
        <v>88</v>
      </c>
      <c r="B14" s="33" t="n">
        <f aca="false">SUM(B12:B13)</f>
        <v>96.027397260274</v>
      </c>
      <c r="C14" s="33" t="n">
        <f aca="false">SUM(C12:C13)</f>
        <v>102.358904109589</v>
      </c>
      <c r="D14" s="33" t="n">
        <f aca="false">SUM(D12:D13)</f>
        <v>101.625561643836</v>
      </c>
      <c r="E14" s="33" t="n">
        <f aca="false">SUM(E12:E13)</f>
        <v>99.7430953424658</v>
      </c>
      <c r="F14" s="33" t="n">
        <f aca="false">SUM(F12:F13)</f>
        <v>97.7302501095891</v>
      </c>
      <c r="G14" s="33" t="n">
        <f aca="false">SUM(G12:G13)</f>
        <v>95.7667626150685</v>
      </c>
    </row>
    <row r="15" customFormat="false" ht="15" hidden="false" customHeight="true" outlineLevel="0" collapsed="false">
      <c r="A15" s="4" t="s">
        <v>89</v>
      </c>
      <c r="B15" s="4"/>
      <c r="C15" s="4"/>
      <c r="D15" s="4"/>
      <c r="E15" s="4"/>
      <c r="F15" s="4"/>
      <c r="G15" s="4"/>
      <c r="H15" s="4"/>
    </row>
    <row r="16" customFormat="false" ht="15" hidden="false" customHeight="true" outlineLevel="0" collapsed="false">
      <c r="A16" s="5" t="s">
        <v>90</v>
      </c>
      <c r="B16" s="9" t="n">
        <v>30</v>
      </c>
      <c r="C16" s="32" t="n">
        <f aca="false">B16</f>
        <v>30</v>
      </c>
      <c r="D16" s="32" t="n">
        <f aca="false">C16</f>
        <v>30</v>
      </c>
      <c r="E16" s="32" t="n">
        <f aca="false">D16</f>
        <v>30</v>
      </c>
      <c r="F16" s="32" t="n">
        <f aca="false">E16</f>
        <v>30</v>
      </c>
      <c r="G16" s="32" t="n">
        <f aca="false">F16</f>
        <v>30</v>
      </c>
    </row>
    <row r="17" customFormat="false" ht="15" hidden="false" customHeight="true" outlineLevel="0" collapsed="false">
      <c r="A17" s="5" t="s">
        <v>91</v>
      </c>
      <c r="B17" s="9" t="n">
        <v>17</v>
      </c>
      <c r="C17" s="32" t="n">
        <f aca="false">B17+'P&amp;L 5 años'!C20*(1-Drivers!C24)</f>
        <v>26.3002</v>
      </c>
      <c r="D17" s="32" t="n">
        <f aca="false">C17+'P&amp;L 5 años'!D20*(1-Drivers!D24)</f>
        <v>37.747111</v>
      </c>
      <c r="E17" s="32" t="n">
        <f aca="false">D17+'P&amp;L 5 años'!E20*(1-Drivers!E24)</f>
        <v>49.67579572</v>
      </c>
      <c r="F17" s="32" t="n">
        <f aca="false">E17+'P&amp;L 5 años'!F20*(1-Drivers!F24)</f>
        <v>62.420133676</v>
      </c>
      <c r="G17" s="32" t="n">
        <f aca="false">F17+'P&amp;L 5 años'!G20*(1-Drivers!G24)</f>
        <v>73.7502793875</v>
      </c>
    </row>
    <row r="18" customFormat="false" ht="15" hidden="false" customHeight="true" outlineLevel="0" collapsed="false">
      <c r="A18" s="3" t="s">
        <v>92</v>
      </c>
      <c r="B18" s="33" t="n">
        <f aca="false">B16+B17</f>
        <v>47</v>
      </c>
      <c r="C18" s="33" t="n">
        <f aca="false">C16+C17</f>
        <v>56.3002</v>
      </c>
      <c r="D18" s="33" t="n">
        <f aca="false">D16+D17</f>
        <v>67.747111</v>
      </c>
      <c r="E18" s="33" t="n">
        <f aca="false">E16+E17</f>
        <v>79.67579572</v>
      </c>
      <c r="F18" s="33" t="n">
        <f aca="false">F16+F17</f>
        <v>92.420133676</v>
      </c>
      <c r="G18" s="33" t="n">
        <f aca="false">G16+G17</f>
        <v>103.7502793875</v>
      </c>
    </row>
    <row r="19" customFormat="false" ht="15" hidden="false" customHeight="true" outlineLevel="0" collapsed="false"/>
    <row r="20" customFormat="false" ht="15" hidden="false" customHeight="true" outlineLevel="0" collapsed="false">
      <c r="A20" s="3" t="s">
        <v>93</v>
      </c>
      <c r="B20" s="33" t="n">
        <f aca="false">B14+B18</f>
        <v>143.027397260274</v>
      </c>
      <c r="C20" s="33" t="n">
        <f aca="false">C14+C18</f>
        <v>158.659104109589</v>
      </c>
      <c r="D20" s="33" t="n">
        <f aca="false">D14+D18</f>
        <v>169.372672643836</v>
      </c>
      <c r="E20" s="33" t="n">
        <f aca="false">E14+E18</f>
        <v>179.418891062466</v>
      </c>
      <c r="F20" s="33" t="n">
        <f aca="false">F14+F18</f>
        <v>190.150383785589</v>
      </c>
      <c r="G20" s="33" t="n">
        <f aca="false">G14+G18</f>
        <v>199.517042002569</v>
      </c>
    </row>
    <row r="21" customFormat="false" ht="21.75" hidden="false" customHeight="true" outlineLevel="0" collapsed="false"/>
    <row r="22" customFormat="false" ht="15" hidden="false" customHeight="true" outlineLevel="0" collapsed="false">
      <c r="A22" s="3" t="s">
        <v>94</v>
      </c>
      <c r="B22" s="34" t="n">
        <f aca="false">B10-B20</f>
        <v>0</v>
      </c>
      <c r="C22" s="34" t="n">
        <f aca="false">C10-C20</f>
        <v>0</v>
      </c>
      <c r="D22" s="34" t="n">
        <f aca="false">D10-D20</f>
        <v>0</v>
      </c>
      <c r="E22" s="34" t="n">
        <f aca="false">E10-E20</f>
        <v>0</v>
      </c>
      <c r="F22" s="34" t="n">
        <f aca="false">F10-F20</f>
        <v>0</v>
      </c>
      <c r="G22" s="34" t="n">
        <f aca="false">G10-G20</f>
        <v>0</v>
      </c>
      <c r="H22" s="7" t="s">
        <v>95</v>
      </c>
    </row>
  </sheetData>
  <mergeCells count="4">
    <mergeCell ref="A2:H2"/>
    <mergeCell ref="A5:H5"/>
    <mergeCell ref="A11:H11"/>
    <mergeCell ref="A15:H15"/>
  </mergeCells>
  <conditionalFormatting sqref="B21">
    <cfRule type="expression" priority="2" aboveAverage="0" equalAverage="0" bottom="0" percent="0" rank="0" text="" dxfId="0">
      <formula>ABS(B21)&gt;0.01</formula>
    </cfRule>
  </conditionalFormatting>
  <conditionalFormatting sqref="C21">
    <cfRule type="expression" priority="3" aboveAverage="0" equalAverage="0" bottom="0" percent="0" rank="0" text="" dxfId="0">
      <formula>ABS(C21)&gt;0.01</formula>
    </cfRule>
  </conditionalFormatting>
  <conditionalFormatting sqref="D21">
    <cfRule type="expression" priority="4" aboveAverage="0" equalAverage="0" bottom="0" percent="0" rank="0" text="" dxfId="0">
      <formula>ABS(D21)&gt;0.01</formula>
    </cfRule>
  </conditionalFormatting>
  <conditionalFormatting sqref="E21">
    <cfRule type="expression" priority="5" aboveAverage="0" equalAverage="0" bottom="0" percent="0" rank="0" text="" dxfId="0">
      <formula>ABS(E21)&gt;0.01</formula>
    </cfRule>
  </conditionalFormatting>
  <conditionalFormatting sqref="F21">
    <cfRule type="expression" priority="6" aboveAverage="0" equalAverage="0" bottom="0" percent="0" rank="0" text="" dxfId="0">
      <formula>ABS(F21)&gt;0.01</formula>
    </cfRule>
  </conditionalFormatting>
  <conditionalFormatting sqref="G21">
    <cfRule type="expression" priority="7" aboveAverage="0" equalAverage="0" bottom="0" percent="0" rank="0" text="" dxfId="0">
      <formula>ABS(G21)&gt;0.01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7" min="2" style="1" width="13"/>
    <col collapsed="false" customWidth="true" hidden="false" outlineLevel="0" max="8" min="8" style="1" width="40"/>
  </cols>
  <sheetData>
    <row r="1" customFormat="false" ht="21.75" hidden="false" customHeight="true" outlineLevel="0" collapsed="false"/>
    <row r="2" customFormat="false" ht="15" hidden="false" customHeight="true" outlineLevel="0" collapsed="false">
      <c r="A2" s="2" t="s">
        <v>96</v>
      </c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/>
    <row r="4" customFormat="false" ht="21.75" hidden="false" customHeight="true" outlineLevel="0" collapsed="false">
      <c r="A4" s="3" t="s">
        <v>46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48</v>
      </c>
    </row>
    <row r="5" customFormat="false" ht="15" hidden="false" customHeight="true" outlineLevel="0" collapsed="false">
      <c r="A5" s="4" t="s">
        <v>97</v>
      </c>
      <c r="B5" s="4"/>
      <c r="C5" s="4"/>
      <c r="D5" s="4"/>
      <c r="E5" s="4"/>
      <c r="F5" s="4"/>
      <c r="G5" s="4"/>
      <c r="H5" s="4"/>
    </row>
    <row r="6" customFormat="false" ht="15" hidden="false" customHeight="true" outlineLevel="0" collapsed="false">
      <c r="A6" s="5" t="s">
        <v>65</v>
      </c>
      <c r="B6" s="32" t="n">
        <f aca="false">'P&amp;L 5 años'!B20</f>
        <v>11.388</v>
      </c>
      <c r="C6" s="32" t="n">
        <f aca="false">'P&amp;L 5 años'!C20</f>
        <v>13.286</v>
      </c>
      <c r="D6" s="32" t="n">
        <f aca="false">'P&amp;L 5 años'!D20</f>
        <v>16.35273</v>
      </c>
      <c r="E6" s="32" t="n">
        <f aca="false">'P&amp;L 5 años'!E20</f>
        <v>19.8811412</v>
      </c>
      <c r="F6" s="32" t="n">
        <f aca="false">'P&amp;L 5 años'!F20</f>
        <v>21.24056326</v>
      </c>
      <c r="G6" s="32" t="n">
        <f aca="false">'P&amp;L 5 años'!G20</f>
        <v>22.660291423</v>
      </c>
    </row>
    <row r="7" customFormat="false" ht="15" hidden="false" customHeight="true" outlineLevel="0" collapsed="false">
      <c r="A7" s="5" t="s">
        <v>98</v>
      </c>
      <c r="B7" s="32" t="n">
        <f aca="false">'P&amp;L 5 años'!B14</f>
        <v>10</v>
      </c>
      <c r="C7" s="32" t="n">
        <f aca="false">'P&amp;L 5 años'!C14</f>
        <v>11</v>
      </c>
      <c r="D7" s="32" t="n">
        <f aca="false">'P&amp;L 5 años'!D14</f>
        <v>11.99</v>
      </c>
      <c r="E7" s="32" t="n">
        <f aca="false">'P&amp;L 5 años'!E14</f>
        <v>12.7094</v>
      </c>
      <c r="F7" s="32" t="n">
        <f aca="false">'P&amp;L 5 años'!F14</f>
        <v>13.34487</v>
      </c>
      <c r="G7" s="32" t="n">
        <f aca="false">'P&amp;L 5 años'!G14</f>
        <v>14.0121135</v>
      </c>
    </row>
    <row r="8" customFormat="false" ht="15" hidden="false" customHeight="true" outlineLevel="0" collapsed="false">
      <c r="A8" s="5" t="s">
        <v>99</v>
      </c>
      <c r="B8" s="32" t="n">
        <v>0</v>
      </c>
      <c r="C8" s="32" t="n">
        <f aca="false">-('Balance General'!C7-'Balance General'!B7)</f>
        <v>-2.46575342465754</v>
      </c>
      <c r="D8" s="32" t="n">
        <f aca="false">-('Balance General'!D7-'Balance General'!C7)</f>
        <v>-0.470136986301373</v>
      </c>
      <c r="E8" s="32" t="n">
        <f aca="false">-('Balance General'!E7-'Balance General'!D7)</f>
        <v>-1.65560547945206</v>
      </c>
      <c r="F8" s="32" t="n">
        <f aca="false">-('Balance General'!F7-'Balance General'!E7)</f>
        <v>-1.46245150684931</v>
      </c>
      <c r="G8" s="32" t="n">
        <f aca="false">-('Balance General'!G7-'Balance General'!F7)</f>
        <v>-1.53557408219178</v>
      </c>
    </row>
    <row r="9" customFormat="false" ht="15" hidden="false" customHeight="true" outlineLevel="0" collapsed="false">
      <c r="A9" s="5" t="s">
        <v>100</v>
      </c>
      <c r="B9" s="32" t="n">
        <v>0</v>
      </c>
      <c r="C9" s="32" t="n">
        <f aca="false">-('Balance General'!C8-'Balance General'!B8)</f>
        <v>-1.00383561643836</v>
      </c>
      <c r="D9" s="32" t="n">
        <f aca="false">-('Balance General'!D8-'Balance General'!C8)</f>
        <v>-0.390876712328769</v>
      </c>
      <c r="E9" s="32" t="n">
        <f aca="false">-('Balance General'!E8-'Balance General'!D8)</f>
        <v>-0.0496681643835615</v>
      </c>
      <c r="F9" s="32" t="n">
        <f aca="false">-('Balance General'!F8-'Balance General'!E8)</f>
        <v>-0.219367726027397</v>
      </c>
      <c r="G9" s="32" t="n">
        <f aca="false">-('Balance General'!G8-'Balance General'!F8)</f>
        <v>-1.15168056164384</v>
      </c>
    </row>
    <row r="10" customFormat="false" ht="15" hidden="false" customHeight="true" outlineLevel="0" collapsed="false">
      <c r="A10" s="5" t="s">
        <v>101</v>
      </c>
      <c r="B10" s="32" t="n">
        <v>0</v>
      </c>
      <c r="C10" s="32" t="n">
        <f aca="false">'Balance General'!C12-'Balance General'!B12</f>
        <v>1.33150684931507</v>
      </c>
      <c r="D10" s="32" t="n">
        <f aca="false">'Balance General'!D12-'Balance General'!C12</f>
        <v>1.26665753424657</v>
      </c>
      <c r="E10" s="32" t="n">
        <f aca="false">'Balance General'!E12-'Balance General'!D12</f>
        <v>1.11753369863014</v>
      </c>
      <c r="F10" s="32" t="n">
        <f aca="false">'Balance General'!F12-'Balance General'!E12</f>
        <v>0.98715476712329</v>
      </c>
      <c r="G10" s="32" t="n">
        <f aca="false">'Balance General'!G12-'Balance General'!F12</f>
        <v>1.03651250547945</v>
      </c>
    </row>
    <row r="11" customFormat="false" ht="21.75" hidden="false" customHeight="true" outlineLevel="0" collapsed="false">
      <c r="A11" s="3" t="s">
        <v>102</v>
      </c>
      <c r="B11" s="33" t="n">
        <f aca="false">SUM(B6:B10)</f>
        <v>21.388</v>
      </c>
      <c r="C11" s="33" t="n">
        <f aca="false">SUM(C6:C10)</f>
        <v>22.1479178082192</v>
      </c>
      <c r="D11" s="33" t="n">
        <f aca="false">SUM(D6:D10)</f>
        <v>28.7483738356164</v>
      </c>
      <c r="E11" s="33" t="n">
        <f aca="false">SUM(E6:E10)</f>
        <v>32.0028012547945</v>
      </c>
      <c r="F11" s="33" t="n">
        <f aca="false">SUM(F6:F10)</f>
        <v>33.8907687942466</v>
      </c>
      <c r="G11" s="33" t="n">
        <f aca="false">SUM(G6:G10)</f>
        <v>35.0216627846438</v>
      </c>
    </row>
    <row r="12" customFormat="false" ht="15" hidden="false" customHeight="true" outlineLevel="0" collapsed="false">
      <c r="A12" s="4" t="s">
        <v>103</v>
      </c>
      <c r="B12" s="4"/>
      <c r="C12" s="4"/>
      <c r="D12" s="4"/>
      <c r="E12" s="4"/>
      <c r="F12" s="4"/>
      <c r="G12" s="4"/>
      <c r="H12" s="4"/>
    </row>
    <row r="13" customFormat="false" ht="15" hidden="false" customHeight="true" outlineLevel="0" collapsed="false">
      <c r="A13" s="5" t="s">
        <v>104</v>
      </c>
      <c r="B13" s="32" t="n">
        <f aca="false">-('P&amp;L 5 años'!B6*Drivers!B20+Drivers!B21)</f>
        <v>-8</v>
      </c>
      <c r="C13" s="32" t="n">
        <f aca="false">-('P&amp;L 5 años'!C6*Drivers!C20+Drivers!C21)</f>
        <v>-12.8</v>
      </c>
      <c r="D13" s="32" t="n">
        <f aca="false">-('P&amp;L 5 años'!D6*Drivers!D20+Drivers!D21)</f>
        <v>-11.592</v>
      </c>
      <c r="E13" s="32" t="n">
        <f aca="false">-('P&amp;L 5 años'!E6*Drivers!E20+Drivers!E21)</f>
        <v>-11.16752</v>
      </c>
      <c r="F13" s="32" t="n">
        <f aca="false">-('P&amp;L 5 años'!F6*Drivers!F20+Drivers!F21)</f>
        <v>-11.675896</v>
      </c>
      <c r="G13" s="32" t="n">
        <f aca="false">-('P&amp;L 5 años'!G6*Drivers!G20+Drivers!G21)</f>
        <v>-12.2096908</v>
      </c>
    </row>
    <row r="14" customFormat="false" ht="21.75" hidden="false" customHeight="true" outlineLevel="0" collapsed="false">
      <c r="A14" s="3" t="s">
        <v>105</v>
      </c>
      <c r="B14" s="33" t="n">
        <f aca="false">B13</f>
        <v>-8</v>
      </c>
      <c r="C14" s="33" t="n">
        <f aca="false">C13</f>
        <v>-12.8</v>
      </c>
      <c r="D14" s="33" t="n">
        <f aca="false">D13</f>
        <v>-11.592</v>
      </c>
      <c r="E14" s="33" t="n">
        <f aca="false">E13</f>
        <v>-11.16752</v>
      </c>
      <c r="F14" s="33" t="n">
        <f aca="false">F13</f>
        <v>-11.675896</v>
      </c>
      <c r="G14" s="33" t="n">
        <f aca="false">G13</f>
        <v>-12.2096908</v>
      </c>
    </row>
    <row r="15" customFormat="false" ht="15" hidden="false" customHeight="true" outlineLevel="0" collapsed="false">
      <c r="A15" s="4" t="s">
        <v>106</v>
      </c>
      <c r="B15" s="4"/>
      <c r="C15" s="4"/>
      <c r="D15" s="4"/>
      <c r="E15" s="4"/>
      <c r="F15" s="4"/>
      <c r="G15" s="4"/>
      <c r="H15" s="4"/>
    </row>
    <row r="16" customFormat="false" ht="15" hidden="false" customHeight="true" outlineLevel="0" collapsed="false">
      <c r="A16" s="5" t="s">
        <v>107</v>
      </c>
      <c r="B16" s="32" t="n">
        <f aca="false">Drivers!B22</f>
        <v>0</v>
      </c>
      <c r="C16" s="32" t="n">
        <f aca="false">Drivers!C22</f>
        <v>5</v>
      </c>
      <c r="D16" s="32" t="n">
        <f aca="false">Drivers!D22</f>
        <v>-2</v>
      </c>
      <c r="E16" s="32" t="n">
        <f aca="false">Drivers!E22</f>
        <v>-3</v>
      </c>
      <c r="F16" s="32" t="n">
        <f aca="false">Drivers!F22</f>
        <v>-3</v>
      </c>
      <c r="G16" s="32" t="n">
        <f aca="false">Drivers!G22</f>
        <v>-3</v>
      </c>
    </row>
    <row r="17" customFormat="false" ht="15" hidden="false" customHeight="true" outlineLevel="0" collapsed="false">
      <c r="A17" s="5" t="s">
        <v>108</v>
      </c>
      <c r="B17" s="32" t="n">
        <f aca="false">-'P&amp;L 5 años'!B20*Drivers!B24</f>
        <v>-3.4164</v>
      </c>
      <c r="C17" s="32" t="n">
        <f aca="false">-'P&amp;L 5 años'!C20*Drivers!C24</f>
        <v>-3.9858</v>
      </c>
      <c r="D17" s="32" t="n">
        <f aca="false">-'P&amp;L 5 años'!D20*Drivers!D24</f>
        <v>-4.905819</v>
      </c>
      <c r="E17" s="32" t="n">
        <f aca="false">-'P&amp;L 5 años'!E20*Drivers!E24</f>
        <v>-7.95245648</v>
      </c>
      <c r="F17" s="32" t="n">
        <f aca="false">-'P&amp;L 5 años'!F20*Drivers!F24</f>
        <v>-8.49622530400001</v>
      </c>
      <c r="G17" s="32" t="n">
        <f aca="false">-'P&amp;L 5 años'!G20*Drivers!G24</f>
        <v>-11.3301457115</v>
      </c>
    </row>
    <row r="18" customFormat="false" ht="15" hidden="false" customHeight="true" outlineLevel="0" collapsed="false">
      <c r="A18" s="3" t="s">
        <v>109</v>
      </c>
      <c r="B18" s="33" t="n">
        <f aca="false">B16+B17</f>
        <v>-3.4164</v>
      </c>
      <c r="C18" s="33" t="n">
        <f aca="false">C16+C17</f>
        <v>1.0142</v>
      </c>
      <c r="D18" s="33" t="n">
        <f aca="false">D16+D17</f>
        <v>-6.905819</v>
      </c>
      <c r="E18" s="33" t="n">
        <f aca="false">E16+E17</f>
        <v>-10.95245648</v>
      </c>
      <c r="F18" s="33" t="n">
        <f aca="false">F16+F17</f>
        <v>-11.496225304</v>
      </c>
      <c r="G18" s="33" t="n">
        <f aca="false">G16+G17</f>
        <v>-14.3301457115</v>
      </c>
    </row>
    <row r="19" customFormat="false" ht="21.75" hidden="false" customHeight="true" outlineLevel="0" collapsed="false"/>
    <row r="20" customFormat="false" ht="15" hidden="false" customHeight="true" outlineLevel="0" collapsed="false">
      <c r="A20" s="3" t="s">
        <v>110</v>
      </c>
      <c r="B20" s="35" t="n">
        <f aca="false">B11+B14+B18</f>
        <v>9.9716</v>
      </c>
      <c r="C20" s="35" t="n">
        <f aca="false">C11+C14+C18</f>
        <v>10.3621178082192</v>
      </c>
      <c r="D20" s="35" t="n">
        <f aca="false">D11+D14+D18</f>
        <v>10.2505548356164</v>
      </c>
      <c r="E20" s="35" t="n">
        <f aca="false">E11+E14+E18</f>
        <v>9.88282477479452</v>
      </c>
      <c r="F20" s="35" t="n">
        <f aca="false">F11+F14+F18</f>
        <v>10.7186474902466</v>
      </c>
      <c r="G20" s="35" t="n">
        <f aca="false">G11+G14+G18</f>
        <v>8.48182627314384</v>
      </c>
    </row>
    <row r="21" customFormat="false" ht="15" hidden="false" customHeight="true" outlineLevel="0" collapsed="false"/>
    <row r="22" customFormat="false" ht="15" hidden="false" customHeight="true" outlineLevel="0" collapsed="false">
      <c r="A22" s="5" t="s">
        <v>111</v>
      </c>
      <c r="B22" s="32" t="n">
        <f aca="false">'Balance General'!B6</f>
        <v>11</v>
      </c>
      <c r="C22" s="32" t="n">
        <f aca="false">'Balance General'!B6</f>
        <v>11</v>
      </c>
      <c r="D22" s="32" t="n">
        <f aca="false">'Balance General'!C6</f>
        <v>21.3621178082192</v>
      </c>
      <c r="E22" s="32" t="n">
        <f aca="false">'Balance General'!D6</f>
        <v>31.6126726438356</v>
      </c>
      <c r="F22" s="32" t="n">
        <f aca="false">'Balance General'!E6</f>
        <v>41.4954974186301</v>
      </c>
      <c r="G22" s="32" t="n">
        <f aca="false">'Balance General'!F6</f>
        <v>52.2141449088767</v>
      </c>
    </row>
    <row r="23" customFormat="false" ht="15" hidden="false" customHeight="true" outlineLevel="0" collapsed="false">
      <c r="A23" s="3" t="s">
        <v>112</v>
      </c>
      <c r="B23" s="33" t="n">
        <f aca="false">B22+B20</f>
        <v>20.9716</v>
      </c>
      <c r="C23" s="33" t="n">
        <f aca="false">C22+C20</f>
        <v>21.3621178082192</v>
      </c>
      <c r="D23" s="33" t="n">
        <f aca="false">D22+D20</f>
        <v>31.6126726438356</v>
      </c>
      <c r="E23" s="33" t="n">
        <f aca="false">E22+E20</f>
        <v>41.4954974186301</v>
      </c>
      <c r="F23" s="33" t="n">
        <f aca="false">F22+F20</f>
        <v>52.2141449088767</v>
      </c>
      <c r="G23" s="33" t="n">
        <f aca="false">G22+G20</f>
        <v>60.6959711820206</v>
      </c>
    </row>
    <row r="24" customFormat="false" ht="21.75" hidden="false" customHeight="true" outlineLevel="0" collapsed="false"/>
    <row r="25" customFormat="false" ht="15" hidden="false" customHeight="true" outlineLevel="0" collapsed="false">
      <c r="A25" s="3" t="s">
        <v>113</v>
      </c>
      <c r="B25" s="34" t="n">
        <f aca="false">B23-'Balance General'!B6</f>
        <v>9.9716</v>
      </c>
      <c r="C25" s="34" t="n">
        <f aca="false">C23-'Balance General'!C6</f>
        <v>0</v>
      </c>
      <c r="D25" s="34" t="n">
        <f aca="false">D23-'Balance General'!D6</f>
        <v>0</v>
      </c>
      <c r="E25" s="34" t="n">
        <f aca="false">E23-'Balance General'!E6</f>
        <v>0</v>
      </c>
      <c r="F25" s="34" t="n">
        <f aca="false">F23-'Balance General'!F6</f>
        <v>0</v>
      </c>
      <c r="G25" s="34" t="n">
        <f aca="false">G23-'Balance General'!G6</f>
        <v>0</v>
      </c>
    </row>
  </sheetData>
  <mergeCells count="4">
    <mergeCell ref="A2:H2"/>
    <mergeCell ref="A5:H5"/>
    <mergeCell ref="A12:H12"/>
    <mergeCell ref="A15:H15"/>
  </mergeCells>
  <conditionalFormatting sqref="B24">
    <cfRule type="expression" priority="2" aboveAverage="0" equalAverage="0" bottom="0" percent="0" rank="0" text="" dxfId="0">
      <formula>ABS(B24)&gt;0.01</formula>
    </cfRule>
  </conditionalFormatting>
  <conditionalFormatting sqref="C24">
    <cfRule type="expression" priority="3" aboveAverage="0" equalAverage="0" bottom="0" percent="0" rank="0" text="" dxfId="0">
      <formula>ABS(C24)&gt;0.01</formula>
    </cfRule>
  </conditionalFormatting>
  <conditionalFormatting sqref="D24">
    <cfRule type="expression" priority="4" aboveAverage="0" equalAverage="0" bottom="0" percent="0" rank="0" text="" dxfId="0">
      <formula>ABS(D24)&gt;0.01</formula>
    </cfRule>
  </conditionalFormatting>
  <conditionalFormatting sqref="E24">
    <cfRule type="expression" priority="5" aboveAverage="0" equalAverage="0" bottom="0" percent="0" rank="0" text="" dxfId="0">
      <formula>ABS(E24)&gt;0.01</formula>
    </cfRule>
  </conditionalFormatting>
  <conditionalFormatting sqref="F24">
    <cfRule type="expression" priority="6" aboveAverage="0" equalAverage="0" bottom="0" percent="0" rank="0" text="" dxfId="0">
      <formula>ABS(F24)&gt;0.01</formula>
    </cfRule>
  </conditionalFormatting>
  <conditionalFormatting sqref="G24">
    <cfRule type="expression" priority="7" aboveAverage="0" equalAverage="0" bottom="0" percent="0" rank="0" text="" dxfId="0">
      <formula>ABS(G24)&gt;0.01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12"/>
    <col collapsed="false" customWidth="true" hidden="false" outlineLevel="0" max="4" min="4" style="1" width="60"/>
  </cols>
  <sheetData>
    <row r="1" customFormat="false" ht="21.75" hidden="false" customHeight="true" outlineLevel="0" collapsed="false"/>
    <row r="2" customFormat="false" ht="15" hidden="false" customHeight="true" outlineLevel="0" collapsed="false">
      <c r="A2" s="2" t="s">
        <v>114</v>
      </c>
      <c r="B2" s="2"/>
      <c r="C2" s="2"/>
      <c r="D2" s="2"/>
    </row>
    <row r="3" customFormat="false" ht="21.75" hidden="false" customHeight="true" outlineLevel="0" collapsed="false"/>
    <row r="4" customFormat="false" ht="60" hidden="false" customHeight="true" outlineLevel="0" collapsed="false">
      <c r="A4" s="3" t="s">
        <v>115</v>
      </c>
      <c r="B4" s="4" t="s">
        <v>116</v>
      </c>
      <c r="C4" s="4" t="s">
        <v>117</v>
      </c>
      <c r="D4" s="4" t="s">
        <v>118</v>
      </c>
    </row>
    <row r="5" customFormat="false" ht="60" hidden="false" customHeight="true" outlineLevel="0" collapsed="false">
      <c r="A5" s="3" t="s">
        <v>119</v>
      </c>
      <c r="B5" s="3" t="s">
        <v>120</v>
      </c>
      <c r="C5" s="36" t="s">
        <v>121</v>
      </c>
      <c r="D5" s="7" t="s">
        <v>122</v>
      </c>
    </row>
    <row r="6" customFormat="false" ht="60" hidden="false" customHeight="true" outlineLevel="0" collapsed="false">
      <c r="A6" s="3" t="s">
        <v>123</v>
      </c>
      <c r="B6" s="3" t="s">
        <v>124</v>
      </c>
      <c r="C6" s="36" t="s">
        <v>121</v>
      </c>
      <c r="D6" s="7" t="s">
        <v>125</v>
      </c>
    </row>
    <row r="7" customFormat="false" ht="60" hidden="false" customHeight="true" outlineLevel="0" collapsed="false">
      <c r="A7" s="3" t="s">
        <v>126</v>
      </c>
      <c r="B7" s="3" t="s">
        <v>127</v>
      </c>
      <c r="C7" s="36" t="s">
        <v>121</v>
      </c>
      <c r="D7" s="7" t="s">
        <v>128</v>
      </c>
    </row>
    <row r="8" customFormat="false" ht="27.75" hidden="false" customHeight="true" outlineLevel="0" collapsed="false">
      <c r="A8" s="3" t="s">
        <v>129</v>
      </c>
      <c r="B8" s="3" t="s">
        <v>130</v>
      </c>
      <c r="C8" s="37" t="s">
        <v>131</v>
      </c>
      <c r="D8" s="7" t="s">
        <v>132</v>
      </c>
    </row>
    <row r="9" customFormat="false" ht="15" hidden="false" customHeight="true" outlineLevel="0" collapsed="false"/>
    <row r="10" customFormat="false" ht="79.5" hidden="false" customHeight="true" outlineLevel="0" collapsed="false">
      <c r="A10" s="4" t="s">
        <v>133</v>
      </c>
      <c r="B10" s="4"/>
      <c r="C10" s="4"/>
      <c r="D10" s="4"/>
    </row>
    <row r="11" customFormat="false" ht="27.75" hidden="false" customHeight="true" outlineLevel="0" collapsed="false">
      <c r="A11" s="12" t="s">
        <v>134</v>
      </c>
      <c r="B11" s="12"/>
      <c r="C11" s="12"/>
      <c r="D11" s="12"/>
    </row>
  </sheetData>
  <mergeCells count="3">
    <mergeCell ref="A2:D2"/>
    <mergeCell ref="A10:D10"/>
    <mergeCell ref="A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8"/>
  </cols>
  <sheetData>
    <row r="1" customFormat="false" ht="21.75" hidden="false" customHeight="true" outlineLevel="0" collapsed="false"/>
    <row r="2" customFormat="false" ht="15" hidden="false" customHeight="true" outlineLevel="0" collapsed="false">
      <c r="A2" s="2" t="s">
        <v>135</v>
      </c>
      <c r="B2" s="2"/>
      <c r="C2" s="2"/>
      <c r="D2" s="2"/>
      <c r="E2" s="2"/>
      <c r="F2" s="2"/>
      <c r="G2" s="2"/>
    </row>
    <row r="3" customFormat="false" ht="79.5" hidden="false" customHeight="true" outlineLevel="0" collapsed="false"/>
    <row r="4" customFormat="false" ht="36.75" hidden="false" customHeight="true" outlineLevel="0" collapsed="false">
      <c r="A4" s="12" t="s">
        <v>136</v>
      </c>
      <c r="B4" s="12"/>
      <c r="C4" s="12"/>
      <c r="D4" s="12"/>
      <c r="E4" s="12"/>
      <c r="F4" s="12"/>
      <c r="G4" s="12"/>
    </row>
  </sheetData>
  <mergeCells count="2">
    <mergeCell ref="A2:G2"/>
    <mergeCell ref="A4:G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2026-05-14T04:42:18Z</dcterms:created>
  <dc:creator>openpyxl</dc:creator>
  <dc:description/>
  <dc:language>en-US</dc:language>
  <cp:lastModifiedBy/>
  <dcterms:modified xsi:type="dcterms:W3CDTF">2026-05-15T03:41:41Z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